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66" yWindow="1935" windowWidth="13275" windowHeight="7170" activeTab="0"/>
  </bookViews>
  <sheets>
    <sheet name="podaci o preduzeću" sheetId="1" r:id="rId1"/>
  </sheets>
  <externalReferences>
    <externalReference r:id="rId4"/>
  </externalReferences>
  <definedNames>
    <definedName name="_xlnm.Print_Area" localSheetId="0">'podaci o preduzeću'!$A$1:$I$176</definedName>
  </definedNames>
  <calcPr fullCalcOnLoad="1"/>
</workbook>
</file>

<file path=xl/sharedStrings.xml><?xml version="1.0" encoding="utf-8"?>
<sst xmlns="http://schemas.openxmlformats.org/spreadsheetml/2006/main" count="212" uniqueCount="163">
  <si>
    <t>"SOJAPROTEIN" A.D.</t>
  </si>
  <si>
    <t>ZA PRERADU SOJE</t>
  </si>
  <si>
    <t>BEČEJ</t>
  </si>
  <si>
    <t xml:space="preserve">Pravilnika o sadržini i načinu izveštavanja javnih društava i obaveštenja o posedovanju akcija sa </t>
  </si>
  <si>
    <t>pravom glasa</t>
  </si>
  <si>
    <t>"SOJAPROTEIN" A.D. BEČEJ</t>
  </si>
  <si>
    <t>OBJAVLJUJE</t>
  </si>
  <si>
    <t>Izjavu o planu poslovanja "SOJAPROTEIN" AD Bečej za period</t>
  </si>
  <si>
    <t>ELEMENTI</t>
  </si>
  <si>
    <t>POSLOVNI PRIHODI</t>
  </si>
  <si>
    <t>FINANSIJSKI PRIHODI</t>
  </si>
  <si>
    <t>OSTALI PRIHODI</t>
  </si>
  <si>
    <t>u 000 dinara</t>
  </si>
  <si>
    <t>POSLOVNI RASHODI</t>
  </si>
  <si>
    <t>Nabavna vred.robe</t>
  </si>
  <si>
    <t>Troškovi zarada naknada zarada i ostali lični rashodi</t>
  </si>
  <si>
    <t>Troškovi materijala</t>
  </si>
  <si>
    <t>Troškovi amortizacije i rezervisanja</t>
  </si>
  <si>
    <t>FINANSIJSKI RASHODI</t>
  </si>
  <si>
    <t>OSTALI RASHODI</t>
  </si>
  <si>
    <t>Poreski rashod perioda</t>
  </si>
  <si>
    <t>NETO DOBIT</t>
  </si>
  <si>
    <t>Ostali poslovni rashodi</t>
  </si>
  <si>
    <t>Red.  br.</t>
  </si>
  <si>
    <t>O p i s</t>
  </si>
  <si>
    <t>A</t>
  </si>
  <si>
    <t>Soja JUS kvalitet</t>
  </si>
  <si>
    <t>Kukuruz</t>
  </si>
  <si>
    <t>Pšenica</t>
  </si>
  <si>
    <t>Svega prerada</t>
  </si>
  <si>
    <t>B</t>
  </si>
  <si>
    <t>PROIZVODNJA</t>
  </si>
  <si>
    <t>Sirovo sojino ulje</t>
  </si>
  <si>
    <t>Lecitin</t>
  </si>
  <si>
    <t>Sojina sačma</t>
  </si>
  <si>
    <t>Sojina ljuska I</t>
  </si>
  <si>
    <t>Sojino brašno - SOPRO</t>
  </si>
  <si>
    <t>TSP - SOPROTEX</t>
  </si>
  <si>
    <t>Leci-vita</t>
  </si>
  <si>
    <t>Pržena soja</t>
  </si>
  <si>
    <t>Ukupna Proizvodnja</t>
  </si>
  <si>
    <t>2.</t>
  </si>
  <si>
    <t xml:space="preserve">UKUPNA REALIZACIJA </t>
  </si>
  <si>
    <t>Naziv proizvoda</t>
  </si>
  <si>
    <t>1.</t>
  </si>
  <si>
    <t>Sojino ulje</t>
  </si>
  <si>
    <t>3.</t>
  </si>
  <si>
    <t xml:space="preserve">Sojina sačma 44% </t>
  </si>
  <si>
    <t>4.</t>
  </si>
  <si>
    <t>Sojina ljuska</t>
  </si>
  <si>
    <t>5.</t>
  </si>
  <si>
    <t>6.</t>
  </si>
  <si>
    <t>7.</t>
  </si>
  <si>
    <t>Sojino brašno-SOPRO</t>
  </si>
  <si>
    <t>8.</t>
  </si>
  <si>
    <t>T S P SOPROTEX</t>
  </si>
  <si>
    <t>9.</t>
  </si>
  <si>
    <t>SOPROMIX</t>
  </si>
  <si>
    <t>11.</t>
  </si>
  <si>
    <t>12.</t>
  </si>
  <si>
    <t>Vegeterijanska pašteta</t>
  </si>
  <si>
    <t xml:space="preserve">           U k u p n o</t>
  </si>
  <si>
    <t>( u tonama )</t>
  </si>
  <si>
    <t>PRERAĐENE KOLIČINE</t>
  </si>
  <si>
    <t>Poslovno ime, sedište i adresa, matični broj i PIB akconatskog društva</t>
  </si>
  <si>
    <t>"SOJAPROTEIN" Akconarsko društvo za preradu soje Bečej</t>
  </si>
  <si>
    <t>Industrijska zona bb, Bečej</t>
  </si>
  <si>
    <t>Matični broj: 08114072</t>
  </si>
  <si>
    <t>PIB 100741587</t>
  </si>
  <si>
    <t>web site i e-mail adresa</t>
  </si>
  <si>
    <t>www.soyaprotein.com</t>
  </si>
  <si>
    <t>office@soyaprotein.com</t>
  </si>
  <si>
    <t>Broj i datum rešenja upisa u registar privrednih subjekata</t>
  </si>
  <si>
    <t>BD 78680, od 29.07.2005. godine</t>
  </si>
  <si>
    <t>Delatnost (šifra i opis)</t>
  </si>
  <si>
    <t>15410 - proizvodnja sirovog ulja i masti</t>
  </si>
  <si>
    <t>Podaci o Predsedniku i članovima Upravnog odbora</t>
  </si>
  <si>
    <t>Nikola Dolinka i Nebojša Vuković.</t>
  </si>
  <si>
    <t xml:space="preserve">Predsednik  Upravnog  odbora  je  Zoran  Mitrović, a  članovi  su  Stanko  Popović, </t>
  </si>
  <si>
    <t xml:space="preserve">Milija  Babović, Jasenka Stekić, Olivera Ilinčić, Branislava Pavlović, Milanko Simić, </t>
  </si>
  <si>
    <t>I.  PRIHODI</t>
  </si>
  <si>
    <t>II.  RASHODI</t>
  </si>
  <si>
    <t>III. BRUTO DOBIT</t>
  </si>
  <si>
    <t xml:space="preserve">podacima  o bitnim  materijalnim  događajima i tansakcijama  ostvarenim  do  datuma </t>
  </si>
  <si>
    <t xml:space="preserve">Osnovne  podatke o šestomesečnom planu poslovanja za tekuću poslovnu godinu, sa </t>
  </si>
  <si>
    <t>važan sastojak hraniva u stočarstvu.</t>
  </si>
  <si>
    <t>Na osnovu  člana 67.stava 2 i člana 64 Zakona o tržištu  hartija od vrednosti i na osnovu člana 5</t>
  </si>
  <si>
    <t>objavljivanja, a koji imaju značajni uticaj na finansijski položaj, uspeh i novčane tokove</t>
  </si>
  <si>
    <t>društva daje se u nastavku.</t>
  </si>
  <si>
    <t>Generalni direktor</t>
  </si>
  <si>
    <t>Pavlović Branislava</t>
  </si>
  <si>
    <t>Red.    br.</t>
  </si>
  <si>
    <t>Sojin griz - UTG</t>
  </si>
  <si>
    <t>(u tonama)</t>
  </si>
  <si>
    <t>Sopromix</t>
  </si>
  <si>
    <t>Vegetarijanska pašteta</t>
  </si>
  <si>
    <t xml:space="preserve"> P R O I Z V O D N J A</t>
  </si>
  <si>
    <t>PLAN POSLOVANJA "SOJAPROTEIN" A.D. BEČEJ</t>
  </si>
  <si>
    <t xml:space="preserve">Sojin griz- PTG/SH </t>
  </si>
  <si>
    <t>10.</t>
  </si>
  <si>
    <t>Sojin griz -SOPRO, UTG i BIO</t>
  </si>
  <si>
    <t>Sojin griz- PTG/SH</t>
  </si>
  <si>
    <t xml:space="preserve">Prerada  sojinog  zrna, proizvodnja i plasman gotovih proizvoda  preduzeća obuhvata razne vrste </t>
  </si>
  <si>
    <t>industriju,  teksturiranih   proteina,  mikseva, ulja, lecitina  i  sačme. Ovi  proizvodi  imaju  primenu</t>
  </si>
  <si>
    <t xml:space="preserve">punomasnih, malomasnih, lecitiranih i obezmašćenih brašana i grizeva, smeša za  prehrambenu </t>
  </si>
  <si>
    <t>u  sledećim   granama  prehrambene  industrije: mesnoj, konditorskoj, farmaceutskoj,  proizvodnji</t>
  </si>
  <si>
    <t>testenina,   pekarstvu,   proizvodnji   biljnih   ulja  i  masti. Soja - Vita  proizvodi   namenjeni  su  za</t>
  </si>
  <si>
    <t xml:space="preserve">korišćene   u  domaćonstvu,  ugostriteljstvu   i  društvenoj  ishrani.  Proizvodi  "Sojaprotein" -a  su </t>
  </si>
  <si>
    <t>kursa Eur-a.</t>
  </si>
  <si>
    <t>konditorskoj industriji i za potrebe stočatske ishrane.</t>
  </si>
  <si>
    <t xml:space="preserve">i negativne  kursne  razlike po osnovu dugoročnih  kredita  predviđeni su na  bazi prosečnog kursa </t>
  </si>
  <si>
    <t>ZALIHE</t>
  </si>
  <si>
    <t>Sojina ljuska I i  IIIkat,</t>
  </si>
  <si>
    <t>Zalihe belih flekica</t>
  </si>
  <si>
    <t>Dom.trž</t>
  </si>
  <si>
    <t>izvoz</t>
  </si>
  <si>
    <t>Ukupno</t>
  </si>
  <si>
    <t xml:space="preserve">Sojina ljus. I </t>
  </si>
  <si>
    <t>Sojin griz-PTG/SH</t>
  </si>
  <si>
    <t>Sojin griz - UTG, BIO</t>
  </si>
  <si>
    <t>Sopromiks</t>
  </si>
  <si>
    <t>Vegetar. pašteta</t>
  </si>
  <si>
    <t>Kukuruz-tona-izvoz</t>
  </si>
  <si>
    <t>Trg.roba I-IV</t>
  </si>
  <si>
    <t>PRIHODI X - XII '09</t>
  </si>
  <si>
    <t>cene                                domaće</t>
  </si>
  <si>
    <t>cene                               ino  kurs 95 din/€</t>
  </si>
  <si>
    <t>Sojin griz-PTG  -SH</t>
  </si>
  <si>
    <t>Kukuruz-tona</t>
  </si>
  <si>
    <t>P</t>
  </si>
  <si>
    <t>R</t>
  </si>
  <si>
    <t>BD</t>
  </si>
  <si>
    <t>Troškovi materijala-SOJA +</t>
  </si>
  <si>
    <t>Ost mat.tr.</t>
  </si>
  <si>
    <t>Energija</t>
  </si>
  <si>
    <t>Tr.zar.nak.zarada i ostali lični rashodi</t>
  </si>
  <si>
    <t>PLAN                   od  01.01.  do            30.06.2010</t>
  </si>
  <si>
    <t>PROIZVODNJA                                          IV - VI                    2010.g.</t>
  </si>
  <si>
    <t>31.03.'010</t>
  </si>
  <si>
    <t>PLAN                   od  01.01. do                 30.06.2010</t>
  </si>
  <si>
    <t>PLAN                   od  01.01. do               30.06.2010</t>
  </si>
  <si>
    <t>REALIZACIJA IV - VI2010</t>
  </si>
  <si>
    <t>Trg.roba IV-VI</t>
  </si>
  <si>
    <t>Tr. Amort.</t>
  </si>
  <si>
    <t>Tr.proiz.usl.</t>
  </si>
  <si>
    <t>Nematerijalni troš.</t>
  </si>
  <si>
    <t>Ost.pos.pr.</t>
  </si>
  <si>
    <t>1Eur</t>
  </si>
  <si>
    <t>Nab.vr.trg.robe</t>
  </si>
  <si>
    <t xml:space="preserve">Eur-a od  100,00 dinara, te su moguća  određena  odstupanja  jer  se  ne može  predvideti  kretanje </t>
  </si>
  <si>
    <t xml:space="preserve">Kupovina  sojinog  zrna  vrši se tokom perioda otkupa po tržišnim uslovima u zavisnodti od potrebe </t>
  </si>
  <si>
    <t xml:space="preserve">proizvodnje, a prerađuje se tokom cele godine do sledećeg  roda..   </t>
  </si>
  <si>
    <t xml:space="preserve">Očekuje se  rast  prihoda zbog rasta plasmana  proizvoda  na  domaćem i pogotovo na stranom </t>
  </si>
  <si>
    <t>Po  pravilu   plasmani  sojinih  proizvoda  su najmanji  u  prvom  tromesečju,  a  po  osnovu  toga  i</t>
  </si>
  <si>
    <t>prihodi, a  zatim  se  povećavaju   u  drugom,  trećem  i  četvrtom   tromesečju  kada  su  i  najveći</t>
  </si>
  <si>
    <t>jer  u  tim  periodima  raste  tražnja   korisnika  sojinih  proizvoda , pogotovu  u  klaničnoj  industriji,</t>
  </si>
  <si>
    <t xml:space="preserve">Planom za prvo polugodišt   2010.godine  finansijski prihodi i rashodi koji se  odnose na pozitivne </t>
  </si>
  <si>
    <t>ZA PERIOD OD 01.01.2010. DO 30.06.2010.god.</t>
  </si>
  <si>
    <t xml:space="preserve">01.01. - 30.06.2010 godine </t>
  </si>
  <si>
    <t>Zalihe 30,06.2010</t>
  </si>
  <si>
    <t xml:space="preserve">Preduzeće  očekuje da  treće i četvro  tromesečje  budu  najprofitabilniji deo 2010.godine. </t>
  </si>
  <si>
    <t xml:space="preserve">tržištu.a  takođe će se plasirati i prelazne zalihe gotovih proizvoda, dok će se troškovi </t>
  </si>
  <si>
    <t>repromaterijala i ostali troškovi uglavnom zadržati na istom nivou.ili imati neznatan porast.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</si>
</sst>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#,##0.0"/>
    <numFmt numFmtId="166" formatCode="0.0"/>
    <numFmt numFmtId="167" formatCode="0.00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Ottaw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b/>
      <sz val="10"/>
      <name val="Times New Roman"/>
      <family val="1"/>
    </font>
    <font>
      <b/>
      <sz val="8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" fontId="3" fillId="0" borderId="20" xfId="0" applyNumberFormat="1" applyFont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33" borderId="20" xfId="0" applyNumberFormat="1" applyFont="1" applyFill="1" applyBorder="1" applyAlignment="1">
      <alignment/>
    </xf>
    <xf numFmtId="1" fontId="3" fillId="0" borderId="2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2" fillId="0" borderId="16" xfId="0" applyFont="1" applyBorder="1" applyAlignment="1">
      <alignment horizontal="centerContinuous" vertical="center" wrapText="1"/>
    </xf>
    <xf numFmtId="0" fontId="0" fillId="0" borderId="27" xfId="0" applyBorder="1" applyAlignment="1">
      <alignment horizontal="centerContinuous"/>
    </xf>
    <xf numFmtId="0" fontId="8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33" borderId="0" xfId="0" applyFill="1" applyBorder="1" applyAlignment="1">
      <alignment/>
    </xf>
    <xf numFmtId="4" fontId="3" fillId="0" borderId="31" xfId="0" applyNumberFormat="1" applyFont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2" xfId="0" applyFont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65" fontId="3" fillId="0" borderId="22" xfId="0" applyNumberFormat="1" applyFont="1" applyBorder="1" applyAlignment="1">
      <alignment/>
    </xf>
    <xf numFmtId="1" fontId="3" fillId="33" borderId="3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5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33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38" xfId="0" applyBorder="1" applyAlignment="1">
      <alignment/>
    </xf>
    <xf numFmtId="3" fontId="3" fillId="34" borderId="37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 vertical="center" wrapText="1"/>
    </xf>
    <xf numFmtId="3" fontId="2" fillId="33" borderId="28" xfId="0" applyNumberFormat="1" applyFont="1" applyFill="1" applyBorder="1" applyAlignment="1">
      <alignment vertical="center" wrapText="1"/>
    </xf>
    <xf numFmtId="3" fontId="2" fillId="0" borderId="3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34" borderId="45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165" fontId="3" fillId="34" borderId="44" xfId="0" applyNumberFormat="1" applyFont="1" applyFill="1" applyBorder="1" applyAlignment="1">
      <alignment/>
    </xf>
    <xf numFmtId="165" fontId="3" fillId="0" borderId="44" xfId="0" applyNumberFormat="1" applyFont="1" applyBorder="1" applyAlignment="1">
      <alignment/>
    </xf>
    <xf numFmtId="165" fontId="3" fillId="34" borderId="22" xfId="0" applyNumberFormat="1" applyFont="1" applyFill="1" applyBorder="1" applyAlignment="1">
      <alignment/>
    </xf>
    <xf numFmtId="1" fontId="3" fillId="33" borderId="48" xfId="0" applyNumberFormat="1" applyFont="1" applyFill="1" applyBorder="1" applyAlignment="1">
      <alignment horizontal="center"/>
    </xf>
    <xf numFmtId="4" fontId="3" fillId="33" borderId="49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Continuous" vertical="center" wrapText="1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27" xfId="0" applyFont="1" applyBorder="1" applyAlignment="1">
      <alignment horizontal="centerContinuous"/>
    </xf>
    <xf numFmtId="3" fontId="8" fillId="34" borderId="28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3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5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64" fontId="2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54" xfId="0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33" borderId="31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7" xfId="0" applyFont="1" applyBorder="1" applyAlignment="1">
      <alignment/>
    </xf>
    <xf numFmtId="3" fontId="10" fillId="0" borderId="49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164" fontId="10" fillId="33" borderId="34" xfId="0" applyNumberFormat="1" applyFont="1" applyFill="1" applyBorder="1" applyAlignment="1">
      <alignment horizontal="right"/>
    </xf>
    <xf numFmtId="164" fontId="10" fillId="33" borderId="28" xfId="0" applyNumberFormat="1" applyFont="1" applyFill="1" applyBorder="1" applyAlignment="1">
      <alignment horizontal="right"/>
    </xf>
    <xf numFmtId="164" fontId="10" fillId="33" borderId="59" xfId="0" applyNumberFormat="1" applyFont="1" applyFill="1" applyBorder="1" applyAlignment="1">
      <alignment/>
    </xf>
    <xf numFmtId="164" fontId="10" fillId="33" borderId="23" xfId="0" applyNumberFormat="1" applyFont="1" applyFill="1" applyBorder="1" applyAlignment="1">
      <alignment horizontal="right"/>
    </xf>
    <xf numFmtId="3" fontId="2" fillId="0" borderId="60" xfId="0" applyNumberFormat="1" applyFont="1" applyFill="1" applyBorder="1" applyAlignment="1">
      <alignment/>
    </xf>
    <xf numFmtId="164" fontId="2" fillId="0" borderId="60" xfId="0" applyNumberFormat="1" applyFont="1" applyBorder="1" applyAlignment="1">
      <alignment/>
    </xf>
    <xf numFmtId="0" fontId="0" fillId="0" borderId="60" xfId="0" applyFont="1" applyBorder="1" applyAlignment="1">
      <alignment/>
    </xf>
    <xf numFmtId="164" fontId="0" fillId="0" borderId="6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10" fillId="0" borderId="61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11" fillId="0" borderId="46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0" fontId="2" fillId="0" borderId="65" xfId="0" applyFont="1" applyBorder="1" applyAlignment="1">
      <alignment/>
    </xf>
    <xf numFmtId="3" fontId="2" fillId="0" borderId="66" xfId="0" applyNumberFormat="1" applyFont="1" applyBorder="1" applyAlignment="1">
      <alignment/>
    </xf>
    <xf numFmtId="3" fontId="10" fillId="33" borderId="19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 horizontal="right"/>
    </xf>
    <xf numFmtId="164" fontId="12" fillId="33" borderId="19" xfId="0" applyNumberFormat="1" applyFont="1" applyFill="1" applyBorder="1" applyAlignment="1">
      <alignment horizontal="right"/>
    </xf>
    <xf numFmtId="164" fontId="12" fillId="33" borderId="19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164" fontId="2" fillId="0" borderId="67" xfId="0" applyNumberFormat="1" applyFont="1" applyBorder="1" applyAlignment="1">
      <alignment/>
    </xf>
    <xf numFmtId="0" fontId="0" fillId="0" borderId="49" xfId="0" applyFont="1" applyBorder="1" applyAlignment="1">
      <alignment/>
    </xf>
    <xf numFmtId="164" fontId="0" fillId="0" borderId="51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3" fontId="2" fillId="0" borderId="68" xfId="0" applyNumberFormat="1" applyFont="1" applyBorder="1" applyAlignment="1">
      <alignment/>
    </xf>
    <xf numFmtId="0" fontId="2" fillId="0" borderId="31" xfId="0" applyFont="1" applyBorder="1" applyAlignment="1">
      <alignment/>
    </xf>
    <xf numFmtId="164" fontId="11" fillId="0" borderId="6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4" fontId="3" fillId="34" borderId="37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4" fontId="3" fillId="0" borderId="51" xfId="0" applyNumberFormat="1" applyFont="1" applyBorder="1" applyAlignment="1">
      <alignment/>
    </xf>
    <xf numFmtId="3" fontId="2" fillId="0" borderId="37" xfId="0" applyNumberFormat="1" applyFont="1" applyBorder="1" applyAlignment="1">
      <alignment vertical="center" wrapText="1"/>
    </xf>
    <xf numFmtId="164" fontId="11" fillId="0" borderId="22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3" fontId="13" fillId="0" borderId="0" xfId="0" applyNumberFormat="1" applyFont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4" fontId="2" fillId="0" borderId="38" xfId="0" applyNumberFormat="1" applyFont="1" applyBorder="1" applyAlignment="1">
      <alignment horizontal="right" vertical="center" wrapText="1"/>
    </xf>
    <xf numFmtId="1" fontId="3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3" fillId="34" borderId="6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2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7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ra\Local%20Settings\Temporary%20Internet%20Files\Content.IE5\S5QRM5M5\MES%20%20PR%20REA%20%20%20I%20-%20III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PR"/>
      <sheetName val="mPR"/>
      <sheetName val="UK.RE"/>
      <sheetName val="RE-T"/>
      <sheetName val="mR-d"/>
      <sheetName val="mR-i"/>
      <sheetName val="VR.R"/>
      <sheetName val="vr-d"/>
      <sheetName val="vr-in"/>
      <sheetName val="NLD"/>
      <sheetName val="mBZ"/>
      <sheetName val="En"/>
      <sheetName val="Enm"/>
      <sheetName val="RdK-V"/>
      <sheetName val="RizK-V"/>
      <sheetName val="+"/>
      <sheetName val="Pri"/>
      <sheetName val="Ras"/>
      <sheetName val="Akt"/>
      <sheetName val="Pas"/>
      <sheetName val="Knj.10"/>
      <sheetName val="Knj.I-V"/>
      <sheetName val="Proizv-Nik"/>
      <sheetName val="Sheet1"/>
      <sheetName val="0"/>
    </sheetNames>
    <sheetDataSet>
      <sheetData sheetId="1">
        <row r="9">
          <cell r="G9">
            <v>49725.47</v>
          </cell>
        </row>
        <row r="13">
          <cell r="G13">
            <v>8992</v>
          </cell>
        </row>
        <row r="14">
          <cell r="G14">
            <v>176.07999999999998</v>
          </cell>
        </row>
        <row r="15">
          <cell r="G15">
            <v>27632.46</v>
          </cell>
        </row>
        <row r="17">
          <cell r="G17">
            <v>424.5</v>
          </cell>
        </row>
        <row r="18">
          <cell r="G18">
            <v>1374.2000000000003</v>
          </cell>
        </row>
        <row r="19">
          <cell r="G19">
            <v>2270.025</v>
          </cell>
        </row>
        <row r="21">
          <cell r="G21">
            <v>3328.84</v>
          </cell>
        </row>
        <row r="25">
          <cell r="G25">
            <v>71.73</v>
          </cell>
        </row>
        <row r="27">
          <cell r="G27">
            <v>0.257</v>
          </cell>
        </row>
        <row r="28">
          <cell r="G28">
            <v>1.056</v>
          </cell>
        </row>
        <row r="29">
          <cell r="G29">
            <v>5.754</v>
          </cell>
        </row>
      </sheetData>
      <sheetData sheetId="3">
        <row r="8">
          <cell r="G8">
            <v>9911.8</v>
          </cell>
        </row>
        <row r="9">
          <cell r="G9">
            <v>190.39564</v>
          </cell>
        </row>
        <row r="10">
          <cell r="G10">
            <v>30048.405779999997</v>
          </cell>
        </row>
        <row r="11">
          <cell r="G11">
            <v>846.4</v>
          </cell>
        </row>
        <row r="12">
          <cell r="G12">
            <v>436.22</v>
          </cell>
        </row>
        <row r="13">
          <cell r="G13">
            <v>1376.16</v>
          </cell>
        </row>
        <row r="14">
          <cell r="G14">
            <v>1978.2150000000001</v>
          </cell>
        </row>
        <row r="16">
          <cell r="G16">
            <v>3397.4664</v>
          </cell>
        </row>
        <row r="20">
          <cell r="G20">
            <v>47.459999999999994</v>
          </cell>
        </row>
        <row r="22">
          <cell r="G22">
            <v>0.207</v>
          </cell>
        </row>
        <row r="23">
          <cell r="G23">
            <v>4.6988</v>
          </cell>
        </row>
        <row r="24">
          <cell r="G24">
            <v>1.048</v>
          </cell>
        </row>
      </sheetData>
      <sheetData sheetId="4">
        <row r="9">
          <cell r="G9">
            <v>72.72064000000002</v>
          </cell>
        </row>
        <row r="11">
          <cell r="G11">
            <v>846.4</v>
          </cell>
        </row>
        <row r="13">
          <cell r="G13">
            <v>0.7</v>
          </cell>
        </row>
        <row r="14">
          <cell r="G14">
            <v>479.515</v>
          </cell>
        </row>
        <row r="16">
          <cell r="G16">
            <v>434.57640000000004</v>
          </cell>
        </row>
        <row r="18">
          <cell r="G18">
            <v>12.66</v>
          </cell>
        </row>
        <row r="20">
          <cell r="G20">
            <v>0.207</v>
          </cell>
        </row>
        <row r="21">
          <cell r="G21">
            <v>4.6988</v>
          </cell>
        </row>
        <row r="22">
          <cell r="G22">
            <v>1.048</v>
          </cell>
        </row>
        <row r="27">
          <cell r="G27">
            <v>2004.52</v>
          </cell>
        </row>
        <row r="28">
          <cell r="G28">
            <v>117.67499999999997</v>
          </cell>
        </row>
        <row r="29">
          <cell r="G29">
            <v>241.76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1375.46</v>
          </cell>
        </row>
        <row r="33">
          <cell r="G33">
            <v>1498.7</v>
          </cell>
        </row>
        <row r="35">
          <cell r="G35">
            <v>2962.89</v>
          </cell>
        </row>
        <row r="37">
          <cell r="G37">
            <v>34.8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17">
        <row r="35">
          <cell r="H35">
            <v>4828.24445</v>
          </cell>
        </row>
        <row r="36">
          <cell r="H36">
            <v>12208.34895</v>
          </cell>
        </row>
        <row r="37">
          <cell r="H37">
            <v>47277.23101</v>
          </cell>
        </row>
        <row r="41">
          <cell r="H41">
            <v>2188878.161880001</v>
          </cell>
        </row>
        <row r="42">
          <cell r="H42">
            <v>38935.38464999999</v>
          </cell>
        </row>
        <row r="48">
          <cell r="H48">
            <v>3102.7441300000005</v>
          </cell>
        </row>
      </sheetData>
      <sheetData sheetId="18">
        <row r="7">
          <cell r="G7">
            <v>154614.63972</v>
          </cell>
        </row>
        <row r="20">
          <cell r="G20">
            <v>1442186.01029</v>
          </cell>
        </row>
        <row r="28">
          <cell r="G28">
            <v>35315.667969999995</v>
          </cell>
        </row>
        <row r="35">
          <cell r="G35">
            <v>69939.92972</v>
          </cell>
        </row>
        <row r="44">
          <cell r="G44">
            <v>87484.63558999999</v>
          </cell>
        </row>
        <row r="69">
          <cell r="G69">
            <v>55809.13123</v>
          </cell>
        </row>
        <row r="91">
          <cell r="G91">
            <v>37112.06541</v>
          </cell>
        </row>
        <row r="94">
          <cell r="G94">
            <v>31560.077330000004</v>
          </cell>
        </row>
        <row r="124">
          <cell r="G124">
            <v>427535.41847000003</v>
          </cell>
        </row>
        <row r="125">
          <cell r="G125">
            <v>76512.56521</v>
          </cell>
        </row>
        <row r="137">
          <cell r="G137">
            <v>13232.30954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yaprotein.com/" TargetMode="External" /><Relationship Id="rId2" Type="http://schemas.openxmlformats.org/officeDocument/2006/relationships/hyperlink" Target="mailto:office@soyaprote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4"/>
  <sheetViews>
    <sheetView tabSelected="1" zoomScalePageLayoutView="0" workbookViewId="0" topLeftCell="A139">
      <selection activeCell="S149" sqref="S149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2.421875" style="0" customWidth="1"/>
    <col min="9" max="9" width="12.57421875" style="0" customWidth="1"/>
    <col min="10" max="10" width="3.140625" style="0" customWidth="1"/>
    <col min="11" max="11" width="17.140625" style="0" hidden="1" customWidth="1"/>
    <col min="12" max="12" width="11.57421875" style="0" hidden="1" customWidth="1"/>
    <col min="13" max="13" width="13.421875" style="0" hidden="1" customWidth="1"/>
    <col min="14" max="14" width="12.8515625" style="0" hidden="1" customWidth="1"/>
    <col min="15" max="15" width="12.00390625" style="0" hidden="1" customWidth="1"/>
    <col min="16" max="16" width="9.57421875" style="0" hidden="1" customWidth="1"/>
  </cols>
  <sheetData>
    <row r="2" ht="15">
      <c r="A2" s="12" t="s">
        <v>0</v>
      </c>
    </row>
    <row r="3" ht="15">
      <c r="A3" s="12" t="s">
        <v>1</v>
      </c>
    </row>
    <row r="4" ht="15">
      <c r="A4" s="12" t="s">
        <v>2</v>
      </c>
    </row>
    <row r="5" ht="15">
      <c r="A5" s="12"/>
    </row>
    <row r="7" ht="14.25">
      <c r="A7" s="68" t="s">
        <v>86</v>
      </c>
    </row>
    <row r="8" ht="14.25">
      <c r="A8" s="68" t="s">
        <v>3</v>
      </c>
    </row>
    <row r="9" ht="14.25">
      <c r="A9" s="68" t="s">
        <v>4</v>
      </c>
    </row>
    <row r="10" ht="14.25">
      <c r="A10" s="68"/>
    </row>
    <row r="12" spans="1:9" ht="15">
      <c r="A12" s="93" t="s">
        <v>5</v>
      </c>
      <c r="B12" s="94"/>
      <c r="C12" s="94"/>
      <c r="D12" s="94"/>
      <c r="E12" s="94"/>
      <c r="F12" s="2"/>
      <c r="G12" s="2"/>
      <c r="H12" s="2"/>
      <c r="I12" s="2"/>
    </row>
    <row r="13" spans="1:9" ht="15">
      <c r="A13" s="93"/>
      <c r="B13" s="94"/>
      <c r="C13" s="94"/>
      <c r="D13" s="94"/>
      <c r="E13" s="94"/>
      <c r="F13" s="2"/>
      <c r="G13" s="2"/>
      <c r="H13" s="2"/>
      <c r="I13" s="2"/>
    </row>
    <row r="14" spans="1:8" ht="14.25">
      <c r="A14" s="95"/>
      <c r="B14" s="95"/>
      <c r="C14" s="95"/>
      <c r="D14" s="95"/>
      <c r="E14" s="95"/>
      <c r="F14" s="3"/>
      <c r="G14" s="3"/>
      <c r="H14" s="3"/>
    </row>
    <row r="15" spans="1:9" ht="15">
      <c r="A15" s="96" t="s">
        <v>6</v>
      </c>
      <c r="B15" s="94"/>
      <c r="C15" s="94"/>
      <c r="D15" s="94"/>
      <c r="E15" s="94"/>
      <c r="F15" s="2"/>
      <c r="G15" s="2"/>
      <c r="H15" s="2"/>
      <c r="I15" s="2"/>
    </row>
    <row r="16" spans="1:8" ht="6" customHeight="1">
      <c r="A16" s="95"/>
      <c r="B16" s="95"/>
      <c r="C16" s="95"/>
      <c r="D16" s="95"/>
      <c r="E16" s="95"/>
      <c r="F16" s="3"/>
      <c r="G16" s="3"/>
      <c r="H16" s="3"/>
    </row>
    <row r="17" spans="1:9" ht="15">
      <c r="A17" s="96" t="s">
        <v>7</v>
      </c>
      <c r="B17" s="94"/>
      <c r="C17" s="94"/>
      <c r="D17" s="94"/>
      <c r="E17" s="94"/>
      <c r="F17" s="2"/>
      <c r="G17" s="2"/>
      <c r="H17" s="2"/>
      <c r="I17" s="2"/>
    </row>
    <row r="18" spans="1:9" ht="15">
      <c r="A18" s="96" t="s">
        <v>158</v>
      </c>
      <c r="B18" s="94"/>
      <c r="C18" s="94"/>
      <c r="D18" s="94"/>
      <c r="E18" s="94"/>
      <c r="F18" s="2"/>
      <c r="G18" s="2"/>
      <c r="H18" s="2"/>
      <c r="I18" s="2"/>
    </row>
    <row r="19" ht="12.75">
      <c r="A19" s="71"/>
    </row>
    <row r="20" ht="12.75">
      <c r="A20" s="71"/>
    </row>
    <row r="21" spans="1:2" ht="15">
      <c r="A21" s="72" t="s">
        <v>44</v>
      </c>
      <c r="B21" s="12" t="s">
        <v>64</v>
      </c>
    </row>
    <row r="22" spans="1:2" ht="14.25">
      <c r="A22" s="71"/>
      <c r="B22" s="68" t="s">
        <v>65</v>
      </c>
    </row>
    <row r="23" spans="1:2" ht="14.25">
      <c r="A23" s="71"/>
      <c r="B23" s="68" t="s">
        <v>66</v>
      </c>
    </row>
    <row r="24" spans="1:2" ht="14.25">
      <c r="A24" s="71"/>
      <c r="B24" s="68" t="s">
        <v>67</v>
      </c>
    </row>
    <row r="25" spans="1:2" ht="14.25">
      <c r="A25" s="71"/>
      <c r="B25" s="68" t="s">
        <v>68</v>
      </c>
    </row>
    <row r="26" ht="12.75">
      <c r="A26" s="71"/>
    </row>
    <row r="27" spans="1:2" ht="15">
      <c r="A27" s="72" t="s">
        <v>41</v>
      </c>
      <c r="B27" s="12" t="s">
        <v>69</v>
      </c>
    </row>
    <row r="28" spans="1:2" ht="14.25">
      <c r="A28" s="71"/>
      <c r="B28" s="69" t="s">
        <v>70</v>
      </c>
    </row>
    <row r="29" spans="1:2" ht="14.25">
      <c r="A29" s="71"/>
      <c r="B29" s="69" t="s">
        <v>71</v>
      </c>
    </row>
    <row r="30" ht="12.75">
      <c r="A30" s="71"/>
    </row>
    <row r="31" spans="1:2" ht="15">
      <c r="A31" s="72" t="s">
        <v>46</v>
      </c>
      <c r="B31" s="12" t="s">
        <v>72</v>
      </c>
    </row>
    <row r="32" spans="1:2" ht="14.25">
      <c r="A32" s="71"/>
      <c r="B32" s="14" t="s">
        <v>73</v>
      </c>
    </row>
    <row r="33" ht="12.75">
      <c r="A33" s="71"/>
    </row>
    <row r="34" spans="1:2" ht="15">
      <c r="A34" s="72" t="s">
        <v>48</v>
      </c>
      <c r="B34" s="12" t="s">
        <v>74</v>
      </c>
    </row>
    <row r="35" spans="1:2" ht="14.25">
      <c r="A35" s="71"/>
      <c r="B35" s="14" t="s">
        <v>75</v>
      </c>
    </row>
    <row r="36" spans="1:2" ht="14.25">
      <c r="A36" s="71"/>
      <c r="B36" s="14"/>
    </row>
    <row r="37" spans="1:2" ht="15">
      <c r="A37" s="72" t="s">
        <v>50</v>
      </c>
      <c r="B37" s="12" t="s">
        <v>76</v>
      </c>
    </row>
    <row r="38" ht="14.25">
      <c r="B38" s="14" t="s">
        <v>78</v>
      </c>
    </row>
    <row r="39" ht="14.25">
      <c r="B39" s="14" t="s">
        <v>79</v>
      </c>
    </row>
    <row r="40" ht="14.25">
      <c r="B40" s="14" t="s">
        <v>77</v>
      </c>
    </row>
    <row r="41" ht="14.25">
      <c r="B41" s="14"/>
    </row>
    <row r="42" spans="1:2" ht="14.25">
      <c r="A42" s="70" t="s">
        <v>51</v>
      </c>
      <c r="B42" s="14" t="s">
        <v>84</v>
      </c>
    </row>
    <row r="43" ht="14.25">
      <c r="B43" s="14" t="s">
        <v>83</v>
      </c>
    </row>
    <row r="44" ht="14.25">
      <c r="B44" s="14" t="s">
        <v>87</v>
      </c>
    </row>
    <row r="45" ht="14.25">
      <c r="B45" s="14" t="s">
        <v>88</v>
      </c>
    </row>
    <row r="49" ht="12" customHeight="1"/>
    <row r="50" ht="16.5" customHeight="1"/>
    <row r="56" spans="1:16" ht="15">
      <c r="A56" s="13" t="s">
        <v>44</v>
      </c>
      <c r="B56" s="76" t="s">
        <v>96</v>
      </c>
      <c r="C56" s="77"/>
      <c r="D56" s="75"/>
      <c r="E56" s="8"/>
      <c r="K56" s="148"/>
      <c r="L56" s="149" t="s">
        <v>111</v>
      </c>
      <c r="M56" s="150"/>
      <c r="N56" s="150"/>
      <c r="O56" s="150"/>
      <c r="P56" s="150"/>
    </row>
    <row r="57" spans="1:16" ht="51.75" thickBot="1">
      <c r="A57" s="9"/>
      <c r="B57" s="10"/>
      <c r="C57" s="11"/>
      <c r="D57" s="7"/>
      <c r="E57" s="8"/>
      <c r="H57" s="33" t="s">
        <v>93</v>
      </c>
      <c r="K57" s="148"/>
      <c r="L57" s="151" t="s">
        <v>138</v>
      </c>
      <c r="M57" s="152" t="s">
        <v>137</v>
      </c>
      <c r="N57" s="150"/>
      <c r="O57" s="150"/>
      <c r="P57" s="150"/>
    </row>
    <row r="58" spans="1:16" ht="36.75" thickBot="1">
      <c r="A58" s="50" t="s">
        <v>91</v>
      </c>
      <c r="B58" s="51" t="s">
        <v>24</v>
      </c>
      <c r="C58" s="52"/>
      <c r="D58" s="53"/>
      <c r="E58" s="53"/>
      <c r="F58" s="52"/>
      <c r="G58" s="54"/>
      <c r="H58" s="55" t="s">
        <v>136</v>
      </c>
      <c r="K58" s="148"/>
      <c r="L58" s="148"/>
      <c r="M58" s="153"/>
      <c r="N58" s="150"/>
      <c r="O58" s="150"/>
      <c r="P58" s="150"/>
    </row>
    <row r="59" spans="1:16" ht="13.5" thickBot="1">
      <c r="A59" s="134">
        <v>1</v>
      </c>
      <c r="B59" s="135">
        <v>2</v>
      </c>
      <c r="C59" s="136"/>
      <c r="D59" s="137"/>
      <c r="E59" s="137"/>
      <c r="F59" s="136"/>
      <c r="G59" s="138"/>
      <c r="H59" s="139">
        <v>3</v>
      </c>
      <c r="K59" s="148"/>
      <c r="L59" s="148"/>
      <c r="M59" s="153"/>
      <c r="N59" s="150"/>
      <c r="O59" s="150"/>
      <c r="P59" s="150"/>
    </row>
    <row r="60" spans="1:16" ht="15">
      <c r="A60" s="128" t="s">
        <v>25</v>
      </c>
      <c r="B60" s="129" t="s">
        <v>63</v>
      </c>
      <c r="C60" s="130"/>
      <c r="D60" s="131"/>
      <c r="E60" s="132"/>
      <c r="F60" s="130"/>
      <c r="G60" s="130"/>
      <c r="H60" s="133"/>
      <c r="K60" s="154" t="s">
        <v>26</v>
      </c>
      <c r="L60" s="155">
        <v>77406.804</v>
      </c>
      <c r="M60" s="153">
        <v>60000</v>
      </c>
      <c r="N60" s="150"/>
      <c r="O60" s="150"/>
      <c r="P60" s="150"/>
    </row>
    <row r="61" spans="1:16" ht="15">
      <c r="A61" s="15">
        <v>1</v>
      </c>
      <c r="B61" s="18" t="s">
        <v>26</v>
      </c>
      <c r="C61" s="57"/>
      <c r="D61" s="60"/>
      <c r="E61" s="61"/>
      <c r="F61" s="57"/>
      <c r="G61" s="62"/>
      <c r="H61" s="89">
        <f>'[1]PR'!G9+M60</f>
        <v>109725.47</v>
      </c>
      <c r="K61" s="148"/>
      <c r="L61" s="148">
        <v>0</v>
      </c>
      <c r="M61" s="153"/>
      <c r="N61" s="150"/>
      <c r="O61" s="150"/>
      <c r="P61" s="150"/>
    </row>
    <row r="62" spans="1:16" ht="15.75" thickBot="1">
      <c r="A62" s="15">
        <v>2</v>
      </c>
      <c r="B62" s="59" t="s">
        <v>27</v>
      </c>
      <c r="C62" s="37"/>
      <c r="D62" s="37"/>
      <c r="E62" s="63"/>
      <c r="F62" s="37"/>
      <c r="G62" s="38"/>
      <c r="H62" s="90">
        <v>0</v>
      </c>
      <c r="K62" s="148"/>
      <c r="L62" s="148">
        <v>0</v>
      </c>
      <c r="M62" s="153"/>
      <c r="N62" s="150"/>
      <c r="O62" s="150"/>
      <c r="P62" s="150"/>
    </row>
    <row r="63" spans="1:16" ht="15.75" thickBot="1">
      <c r="A63" s="17">
        <v>3</v>
      </c>
      <c r="B63" s="56" t="s">
        <v>28</v>
      </c>
      <c r="C63" s="41"/>
      <c r="D63" s="41"/>
      <c r="E63" s="42"/>
      <c r="F63" s="41"/>
      <c r="G63" s="43"/>
      <c r="H63" s="90">
        <v>0</v>
      </c>
      <c r="K63" s="148"/>
      <c r="L63" s="156">
        <f>SUM(L60:L62)</f>
        <v>77406.804</v>
      </c>
      <c r="M63" s="153"/>
      <c r="N63" s="150"/>
      <c r="O63" s="150"/>
      <c r="P63" s="150"/>
    </row>
    <row r="64" spans="1:16" ht="15.75" thickBot="1">
      <c r="A64" s="44"/>
      <c r="B64" s="64" t="s">
        <v>29</v>
      </c>
      <c r="C64" s="58"/>
      <c r="D64" s="35"/>
      <c r="E64" s="35"/>
      <c r="F64" s="58"/>
      <c r="G64" s="58"/>
      <c r="H64" s="24">
        <f>SUM(H61:H63)</f>
        <v>109725.47</v>
      </c>
      <c r="K64" s="148"/>
      <c r="L64" s="148"/>
      <c r="M64" s="153"/>
      <c r="N64" s="279" t="s">
        <v>159</v>
      </c>
      <c r="O64" s="150"/>
      <c r="P64" s="150"/>
    </row>
    <row r="65" spans="1:16" ht="15.75" thickBot="1">
      <c r="A65" s="47" t="s">
        <v>30</v>
      </c>
      <c r="B65" s="49" t="s">
        <v>31</v>
      </c>
      <c r="C65" s="46"/>
      <c r="D65" s="45"/>
      <c r="E65" s="91"/>
      <c r="F65" s="46"/>
      <c r="G65" s="46"/>
      <c r="H65" s="264"/>
      <c r="J65" s="48"/>
      <c r="K65" s="157" t="s">
        <v>32</v>
      </c>
      <c r="L65" s="158">
        <v>1693.542</v>
      </c>
      <c r="M65" s="153">
        <f>M60*18.7%</f>
        <v>11220</v>
      </c>
      <c r="N65" s="159">
        <f>SUM(L65:M65)-N86</f>
        <v>1500</v>
      </c>
      <c r="O65" s="160"/>
      <c r="P65" s="150"/>
    </row>
    <row r="66" spans="1:16" ht="15">
      <c r="A66" s="20">
        <v>1</v>
      </c>
      <c r="B66" s="40" t="s">
        <v>32</v>
      </c>
      <c r="C66" s="48"/>
      <c r="D66" s="22"/>
      <c r="E66" s="34"/>
      <c r="F66" s="48"/>
      <c r="G66" s="48"/>
      <c r="H66" s="89">
        <f>'[1]PR'!G13+M65</f>
        <v>20212</v>
      </c>
      <c r="K66" s="161" t="s">
        <v>33</v>
      </c>
      <c r="L66" s="158">
        <v>125.32</v>
      </c>
      <c r="M66" s="153">
        <f>M65*2%</f>
        <v>224.4</v>
      </c>
      <c r="N66" s="159">
        <f>SUM(L66:M66)-N87</f>
        <v>139.04536000000007</v>
      </c>
      <c r="O66" s="160"/>
      <c r="P66" s="150"/>
    </row>
    <row r="67" spans="1:16" ht="15">
      <c r="A67" s="15">
        <v>2</v>
      </c>
      <c r="B67" s="59" t="s">
        <v>33</v>
      </c>
      <c r="C67" s="37"/>
      <c r="D67" s="39"/>
      <c r="E67" s="39"/>
      <c r="F67" s="37"/>
      <c r="G67" s="37"/>
      <c r="H67" s="89">
        <f>'[1]PR'!G14+M66</f>
        <v>400.48</v>
      </c>
      <c r="K67" s="157" t="s">
        <v>34</v>
      </c>
      <c r="L67" s="158">
        <v>8174.29</v>
      </c>
      <c r="M67" s="153">
        <v>36860.854</v>
      </c>
      <c r="N67" s="159">
        <f>SUM(L67:M67)-N88</f>
        <v>7000.059999999998</v>
      </c>
      <c r="O67" s="160"/>
      <c r="P67" s="150"/>
    </row>
    <row r="68" spans="1:16" ht="15">
      <c r="A68" s="15">
        <v>3</v>
      </c>
      <c r="B68" s="40" t="s">
        <v>34</v>
      </c>
      <c r="C68" s="48"/>
      <c r="D68" s="34"/>
      <c r="E68" s="34"/>
      <c r="F68" s="48"/>
      <c r="G68" s="48"/>
      <c r="H68" s="89">
        <f>'[1]PR'!G15+M67</f>
        <v>64493.314</v>
      </c>
      <c r="K68" s="162" t="s">
        <v>112</v>
      </c>
      <c r="L68" s="158">
        <v>61.17</v>
      </c>
      <c r="M68" s="153">
        <v>0</v>
      </c>
      <c r="N68" s="159"/>
      <c r="O68" s="160"/>
      <c r="P68" s="150"/>
    </row>
    <row r="69" spans="1:16" ht="15">
      <c r="A69" s="15">
        <v>4</v>
      </c>
      <c r="B69" s="16" t="s">
        <v>35</v>
      </c>
      <c r="C69" s="37"/>
      <c r="D69" s="39"/>
      <c r="E69" s="39"/>
      <c r="F69" s="37"/>
      <c r="G69" s="37"/>
      <c r="H69" s="89">
        <f>50</f>
        <v>50</v>
      </c>
      <c r="K69" s="157" t="s">
        <v>98</v>
      </c>
      <c r="L69" s="158">
        <v>4.76</v>
      </c>
      <c r="M69" s="153">
        <f>424.5/3*3+100</f>
        <v>524.5</v>
      </c>
      <c r="N69" s="159">
        <f aca="true" t="shared" si="0" ref="N69:N76">SUM(L69:M69)-N90</f>
        <v>0</v>
      </c>
      <c r="O69" s="160"/>
      <c r="P69" s="150"/>
    </row>
    <row r="70" spans="1:16" ht="15">
      <c r="A70" s="15">
        <v>5</v>
      </c>
      <c r="B70" s="40" t="s">
        <v>98</v>
      </c>
      <c r="C70" s="48"/>
      <c r="D70" s="34"/>
      <c r="E70" s="34"/>
      <c r="F70" s="48"/>
      <c r="G70" s="48"/>
      <c r="H70" s="89">
        <f>'[1]PR'!G17+M69</f>
        <v>949</v>
      </c>
      <c r="K70" s="162" t="s">
        <v>92</v>
      </c>
      <c r="L70" s="158">
        <v>164.77</v>
      </c>
      <c r="M70" s="153">
        <f>(1374.2/3*3)*1.06</f>
        <v>1456.652</v>
      </c>
      <c r="N70" s="159">
        <f t="shared" si="0"/>
        <v>200</v>
      </c>
      <c r="O70" s="163"/>
      <c r="P70" s="150"/>
    </row>
    <row r="71" spans="1:16" ht="15">
      <c r="A71" s="15">
        <v>6</v>
      </c>
      <c r="B71" s="16" t="s">
        <v>92</v>
      </c>
      <c r="C71" s="37"/>
      <c r="D71" s="39"/>
      <c r="E71" s="39"/>
      <c r="F71" s="37"/>
      <c r="G71" s="37"/>
      <c r="H71" s="89">
        <f>'[1]PR'!G18+M70</f>
        <v>2830.8520000000003</v>
      </c>
      <c r="K71" s="162" t="s">
        <v>36</v>
      </c>
      <c r="L71" s="158">
        <v>807.218</v>
      </c>
      <c r="M71" s="153">
        <f>(2270.025/3*3)*1.06</f>
        <v>2406.2265</v>
      </c>
      <c r="N71" s="159">
        <f t="shared" si="0"/>
        <v>1134.9995</v>
      </c>
      <c r="O71" s="159"/>
      <c r="P71" s="150"/>
    </row>
    <row r="72" spans="1:16" ht="15">
      <c r="A72" s="15">
        <v>7</v>
      </c>
      <c r="B72" s="16" t="s">
        <v>36</v>
      </c>
      <c r="C72" s="37"/>
      <c r="D72" s="39"/>
      <c r="E72" s="39"/>
      <c r="F72" s="37"/>
      <c r="G72" s="37"/>
      <c r="H72" s="89">
        <f>'[1]PR'!G19+M71</f>
        <v>4676.2515</v>
      </c>
      <c r="K72" s="157" t="s">
        <v>37</v>
      </c>
      <c r="L72" s="158">
        <v>1451.352</v>
      </c>
      <c r="M72" s="153">
        <f>(3328.84/3*3)*1.06</f>
        <v>3528.5704000000005</v>
      </c>
      <c r="N72" s="159">
        <f t="shared" si="0"/>
        <v>1500.0000000000005</v>
      </c>
      <c r="O72" s="159"/>
      <c r="P72" s="150"/>
    </row>
    <row r="73" spans="1:16" ht="15">
      <c r="A73" s="15">
        <v>8</v>
      </c>
      <c r="B73" s="40" t="s">
        <v>37</v>
      </c>
      <c r="C73" s="48"/>
      <c r="D73" s="34"/>
      <c r="E73" s="34"/>
      <c r="F73" s="48"/>
      <c r="G73" s="48"/>
      <c r="H73" s="89">
        <f>'[1]PR'!G21+M72</f>
        <v>6857.410400000001</v>
      </c>
      <c r="K73" s="164" t="s">
        <v>94</v>
      </c>
      <c r="L73" s="158">
        <v>66.989</v>
      </c>
      <c r="M73" s="153">
        <f>71.73/3*3</f>
        <v>71.73</v>
      </c>
      <c r="N73" s="159">
        <f t="shared" si="0"/>
        <v>62.259</v>
      </c>
      <c r="O73" s="159"/>
      <c r="P73" s="150"/>
    </row>
    <row r="74" spans="1:16" ht="15">
      <c r="A74" s="15">
        <v>9</v>
      </c>
      <c r="B74" s="21" t="s">
        <v>94</v>
      </c>
      <c r="C74" s="37"/>
      <c r="D74" s="39"/>
      <c r="E74" s="39"/>
      <c r="F74" s="37"/>
      <c r="G74" s="37"/>
      <c r="H74" s="89">
        <f>'[1]PR'!G25+M73</f>
        <v>143.46</v>
      </c>
      <c r="K74" s="165" t="s">
        <v>38</v>
      </c>
      <c r="L74" s="158">
        <v>0.922</v>
      </c>
      <c r="M74" s="153">
        <v>0.257</v>
      </c>
      <c r="N74" s="159">
        <f t="shared" si="0"/>
        <v>0.5720000000000001</v>
      </c>
      <c r="O74" s="159"/>
      <c r="P74" s="150"/>
    </row>
    <row r="75" spans="1:16" ht="15">
      <c r="A75" s="15">
        <v>10</v>
      </c>
      <c r="B75" s="78" t="s">
        <v>38</v>
      </c>
      <c r="C75" s="37"/>
      <c r="D75" s="36"/>
      <c r="E75" s="36"/>
      <c r="F75" s="48"/>
      <c r="G75" s="48"/>
      <c r="H75" s="263">
        <f>'[1]PR'!G27+M74</f>
        <v>0.514</v>
      </c>
      <c r="K75" s="164" t="s">
        <v>39</v>
      </c>
      <c r="L75" s="158">
        <v>0.52</v>
      </c>
      <c r="M75" s="153">
        <v>1.056</v>
      </c>
      <c r="N75" s="159">
        <f t="shared" si="0"/>
        <v>0.028000000000000025</v>
      </c>
      <c r="O75" s="159"/>
      <c r="P75" s="150"/>
    </row>
    <row r="76" spans="1:16" ht="15">
      <c r="A76" s="15">
        <v>11</v>
      </c>
      <c r="B76" s="21" t="s">
        <v>39</v>
      </c>
      <c r="C76" s="79"/>
      <c r="D76" s="66"/>
      <c r="E76" s="66"/>
      <c r="F76" s="37"/>
      <c r="G76" s="37"/>
      <c r="H76" s="263">
        <f>'[1]PR'!G28+M75</f>
        <v>2.112</v>
      </c>
      <c r="K76" s="164" t="s">
        <v>95</v>
      </c>
      <c r="L76" s="158">
        <v>2.136</v>
      </c>
      <c r="M76" s="153">
        <v>5.754</v>
      </c>
      <c r="N76" s="159">
        <f t="shared" si="0"/>
        <v>1.6911999999999994</v>
      </c>
      <c r="O76" s="159"/>
      <c r="P76" s="150"/>
    </row>
    <row r="77" spans="1:16" ht="19.5" customHeight="1">
      <c r="A77" s="15">
        <v>12</v>
      </c>
      <c r="B77" s="21" t="s">
        <v>95</v>
      </c>
      <c r="C77" s="37"/>
      <c r="D77" s="66"/>
      <c r="E77" s="66"/>
      <c r="F77" s="37"/>
      <c r="G77" s="37"/>
      <c r="H77" s="276">
        <f>'[1]PR'!G29+M76</f>
        <v>11.508</v>
      </c>
      <c r="K77" s="166" t="s">
        <v>113</v>
      </c>
      <c r="L77" s="167">
        <v>531.185</v>
      </c>
      <c r="M77" s="153">
        <v>700</v>
      </c>
      <c r="N77" s="150"/>
      <c r="O77" s="168"/>
      <c r="P77" s="150"/>
    </row>
    <row r="78" spans="1:16" ht="19.5" customHeight="1" thickBot="1">
      <c r="A78" s="274">
        <v>13</v>
      </c>
      <c r="B78" s="65" t="s">
        <v>113</v>
      </c>
      <c r="C78" s="48"/>
      <c r="D78" s="36"/>
      <c r="E78" s="36"/>
      <c r="F78" s="48"/>
      <c r="G78" s="48"/>
      <c r="H78" s="277">
        <f>M77</f>
        <v>700</v>
      </c>
      <c r="K78" s="275"/>
      <c r="L78" s="167"/>
      <c r="M78" s="153"/>
      <c r="N78" s="150"/>
      <c r="O78" s="168"/>
      <c r="P78" s="150"/>
    </row>
    <row r="79" spans="1:16" ht="15.75" customHeight="1" thickBot="1">
      <c r="A79" s="67"/>
      <c r="B79" s="19" t="s">
        <v>40</v>
      </c>
      <c r="C79" s="46"/>
      <c r="D79" s="23"/>
      <c r="E79" s="23"/>
      <c r="F79" s="46"/>
      <c r="G79" s="46"/>
      <c r="H79" s="73">
        <f>SUM(H66:H78)</f>
        <v>101326.90189999998</v>
      </c>
      <c r="J79" s="5"/>
      <c r="K79" s="148"/>
      <c r="L79" s="169">
        <f>SUM(L65:L77)</f>
        <v>13084.174000000003</v>
      </c>
      <c r="M79" s="153">
        <f>SUM(M65:M77)</f>
        <v>56999.9999</v>
      </c>
      <c r="N79" s="170">
        <f>SUM(N65:N77)</f>
        <v>11538.655059999997</v>
      </c>
      <c r="O79" s="159">
        <f>SUM(O65:O77)</f>
        <v>0</v>
      </c>
      <c r="P79" s="150"/>
    </row>
    <row r="80" spans="8:16" ht="14.25" customHeight="1">
      <c r="H80" s="5"/>
      <c r="K80" s="148"/>
      <c r="L80" s="148"/>
      <c r="M80" s="171">
        <f>M60*95%</f>
        <v>57000</v>
      </c>
      <c r="N80" s="150"/>
      <c r="O80" s="150"/>
      <c r="P80" s="150"/>
    </row>
    <row r="81" spans="1:16" ht="15">
      <c r="A81" s="13" t="s">
        <v>41</v>
      </c>
      <c r="B81" s="29" t="s">
        <v>42</v>
      </c>
      <c r="C81" s="12"/>
      <c r="D81" s="12"/>
      <c r="E81" s="12"/>
      <c r="H81" s="12" t="s">
        <v>62</v>
      </c>
      <c r="K81" s="172"/>
      <c r="L81" s="174">
        <f>M79/M60*100</f>
        <v>94.99999983333333</v>
      </c>
      <c r="M81" s="171">
        <f>M80-M79</f>
        <v>9.999999747378752E-05</v>
      </c>
      <c r="N81" s="173"/>
      <c r="O81" s="150"/>
      <c r="P81" s="150"/>
    </row>
    <row r="82" spans="1:16" ht="15.75" thickBot="1">
      <c r="A82" s="13"/>
      <c r="B82" s="12"/>
      <c r="C82" s="12"/>
      <c r="D82" s="12"/>
      <c r="K82" s="174"/>
      <c r="L82" s="171"/>
      <c r="M82" s="175"/>
      <c r="N82" s="150"/>
      <c r="O82" s="150"/>
      <c r="P82" s="150"/>
    </row>
    <row r="83" spans="1:16" ht="44.25" customHeight="1" thickBot="1">
      <c r="A83" s="74" t="s">
        <v>23</v>
      </c>
      <c r="B83" s="295" t="s">
        <v>43</v>
      </c>
      <c r="C83" s="296"/>
      <c r="D83" s="296"/>
      <c r="E83" s="296"/>
      <c r="F83" s="92"/>
      <c r="G83" s="92"/>
      <c r="H83" s="271" t="s">
        <v>139</v>
      </c>
      <c r="K83" s="148"/>
      <c r="L83" s="171" t="s">
        <v>141</v>
      </c>
      <c r="M83" s="150"/>
      <c r="N83" s="150"/>
      <c r="O83" s="150"/>
      <c r="P83" s="150"/>
    </row>
    <row r="84" spans="1:16" ht="13.5" thickBot="1">
      <c r="A84" s="145">
        <v>1</v>
      </c>
      <c r="B84" s="135">
        <v>2</v>
      </c>
      <c r="C84" s="136"/>
      <c r="D84" s="137"/>
      <c r="E84" s="137"/>
      <c r="F84" s="136"/>
      <c r="G84" s="138"/>
      <c r="H84" s="146">
        <v>3</v>
      </c>
      <c r="K84" s="148"/>
      <c r="L84" s="176" t="s">
        <v>114</v>
      </c>
      <c r="M84" s="177" t="s">
        <v>115</v>
      </c>
      <c r="N84" s="178" t="s">
        <v>116</v>
      </c>
      <c r="O84" s="150"/>
      <c r="P84" s="150"/>
    </row>
    <row r="85" spans="1:16" ht="15">
      <c r="A85" s="140" t="s">
        <v>44</v>
      </c>
      <c r="B85" s="141" t="s">
        <v>45</v>
      </c>
      <c r="C85" s="79"/>
      <c r="D85" s="142"/>
      <c r="E85" s="143"/>
      <c r="F85" s="79"/>
      <c r="G85" s="79"/>
      <c r="H85" s="144">
        <f>'[1]UK.RE'!G8+N86</f>
        <v>21325.341999999997</v>
      </c>
      <c r="K85" s="179"/>
      <c r="L85" s="180"/>
      <c r="M85" s="181"/>
      <c r="N85" s="182"/>
      <c r="O85" s="173"/>
      <c r="P85" s="150"/>
    </row>
    <row r="86" spans="1:16" ht="15">
      <c r="A86" s="25" t="s">
        <v>41</v>
      </c>
      <c r="B86" s="118" t="s">
        <v>33</v>
      </c>
      <c r="C86" s="48"/>
      <c r="D86" s="22"/>
      <c r="E86" s="34"/>
      <c r="F86" s="48"/>
      <c r="G86" s="48"/>
      <c r="H86" s="144">
        <f>'[1]UK.RE'!G9+N87</f>
        <v>401.0702799999999</v>
      </c>
      <c r="K86" s="183" t="s">
        <v>32</v>
      </c>
      <c r="L86" s="184">
        <f>M65-M86+193.542</f>
        <v>9409.021999999999</v>
      </c>
      <c r="M86" s="185">
        <f>'[1]RE-T'!G27</f>
        <v>2004.52</v>
      </c>
      <c r="N86" s="186">
        <f>SUM(L86:M86)</f>
        <v>11413.542</v>
      </c>
      <c r="O86" s="173"/>
      <c r="P86" s="150"/>
    </row>
    <row r="87" spans="1:16" ht="15">
      <c r="A87" s="115" t="s">
        <v>46</v>
      </c>
      <c r="B87" s="63" t="s">
        <v>47</v>
      </c>
      <c r="C87" s="37"/>
      <c r="D87" s="117"/>
      <c r="E87" s="39"/>
      <c r="F87" s="37"/>
      <c r="G87" s="37"/>
      <c r="H87" s="144">
        <f>'[1]UK.RE'!G10+N88</f>
        <v>68083.48978</v>
      </c>
      <c r="K87" s="187" t="s">
        <v>33</v>
      </c>
      <c r="L87" s="184">
        <f>'[1]RE-T'!G9+7.279</f>
        <v>79.99964000000001</v>
      </c>
      <c r="M87" s="185">
        <f>'[1]RE-T'!G28+13</f>
        <v>130.67499999999995</v>
      </c>
      <c r="N87" s="188">
        <f aca="true" t="shared" si="1" ref="N87:N97">L87+M87</f>
        <v>210.67463999999995</v>
      </c>
      <c r="O87" s="173"/>
      <c r="P87" s="150"/>
    </row>
    <row r="88" spans="1:16" ht="15">
      <c r="A88" s="25" t="s">
        <v>48</v>
      </c>
      <c r="B88" s="6" t="s">
        <v>49</v>
      </c>
      <c r="C88" s="48"/>
      <c r="D88" s="22"/>
      <c r="E88" s="34"/>
      <c r="F88" s="48"/>
      <c r="G88" s="48"/>
      <c r="H88" s="144">
        <f>'[1]UK.RE'!G11+N89</f>
        <v>1753.9699999999998</v>
      </c>
      <c r="K88" s="187" t="s">
        <v>34</v>
      </c>
      <c r="L88" s="184">
        <f>M67-M88+1174.23</f>
        <v>37793.324</v>
      </c>
      <c r="M88" s="185">
        <f>'[1]RE-T'!G29</f>
        <v>241.76</v>
      </c>
      <c r="N88" s="188">
        <f>L88+M88</f>
        <v>38035.084</v>
      </c>
      <c r="O88" s="173"/>
      <c r="P88" s="150"/>
    </row>
    <row r="89" spans="1:16" ht="15">
      <c r="A89" s="115" t="s">
        <v>50</v>
      </c>
      <c r="B89" s="16" t="s">
        <v>101</v>
      </c>
      <c r="C89" s="37"/>
      <c r="D89" s="117"/>
      <c r="E89" s="39"/>
      <c r="F89" s="37"/>
      <c r="G89" s="37"/>
      <c r="H89" s="144">
        <f>'[1]UK.RE'!G12+N90</f>
        <v>965.48</v>
      </c>
      <c r="K89" s="187" t="s">
        <v>117</v>
      </c>
      <c r="L89" s="184">
        <f>'[1]RE-T'!G11+L68</f>
        <v>907.5699999999999</v>
      </c>
      <c r="M89" s="185">
        <f>'[1]RE-T'!G30</f>
        <v>0</v>
      </c>
      <c r="N89" s="188">
        <f t="shared" si="1"/>
        <v>907.5699999999999</v>
      </c>
      <c r="O89" s="173"/>
      <c r="P89" s="150"/>
    </row>
    <row r="90" spans="1:16" ht="13.5" customHeight="1">
      <c r="A90" s="25" t="s">
        <v>51</v>
      </c>
      <c r="B90" s="6" t="s">
        <v>100</v>
      </c>
      <c r="C90" s="48"/>
      <c r="D90" s="22"/>
      <c r="E90" s="34"/>
      <c r="F90" s="48"/>
      <c r="G90" s="48"/>
      <c r="H90" s="144">
        <f>'[1]UK.RE'!G13+N91</f>
        <v>2797.5820000000003</v>
      </c>
      <c r="K90" s="187" t="s">
        <v>118</v>
      </c>
      <c r="L90" s="184">
        <f>M69+4.76</f>
        <v>529.26</v>
      </c>
      <c r="M90" s="185">
        <f>'[1]RE-T'!G31</f>
        <v>0</v>
      </c>
      <c r="N90" s="188">
        <f t="shared" si="1"/>
        <v>529.26</v>
      </c>
      <c r="O90" s="173"/>
      <c r="P90" s="150"/>
    </row>
    <row r="91" spans="1:16" ht="14.25" customHeight="1">
      <c r="A91" s="120" t="s">
        <v>52</v>
      </c>
      <c r="B91" s="121" t="s">
        <v>53</v>
      </c>
      <c r="C91" s="37"/>
      <c r="D91" s="117"/>
      <c r="E91" s="39"/>
      <c r="F91" s="37"/>
      <c r="G91" s="37"/>
      <c r="H91" s="144">
        <f>'[1]UK.RE'!G14+N92</f>
        <v>4056.6600000000003</v>
      </c>
      <c r="K91" s="187" t="s">
        <v>119</v>
      </c>
      <c r="L91" s="184">
        <f>'[1]RE-T'!G13</f>
        <v>0.7</v>
      </c>
      <c r="M91" s="185">
        <f>'[1]RE-T'!G32+45.262</f>
        <v>1420.722</v>
      </c>
      <c r="N91" s="188">
        <f t="shared" si="1"/>
        <v>1421.422</v>
      </c>
      <c r="O91" s="173"/>
      <c r="P91" s="150"/>
    </row>
    <row r="92" spans="1:16" ht="15.75" customHeight="1">
      <c r="A92" s="26" t="s">
        <v>54</v>
      </c>
      <c r="B92" s="122" t="s">
        <v>55</v>
      </c>
      <c r="C92" s="48"/>
      <c r="D92" s="22"/>
      <c r="E92" s="34"/>
      <c r="F92" s="48"/>
      <c r="G92" s="48"/>
      <c r="H92" s="144">
        <f>'[1]UK.RE'!G16+N93</f>
        <v>6877.3888</v>
      </c>
      <c r="K92" s="187" t="s">
        <v>36</v>
      </c>
      <c r="L92" s="184">
        <f>'[1]RE-T'!G14</f>
        <v>479.515</v>
      </c>
      <c r="M92" s="185">
        <f>'[1]RE-T'!G33+100.23</f>
        <v>1598.93</v>
      </c>
      <c r="N92" s="188">
        <f t="shared" si="1"/>
        <v>2078.445</v>
      </c>
      <c r="O92" s="173"/>
      <c r="P92" s="150"/>
    </row>
    <row r="93" spans="1:16" ht="15">
      <c r="A93" s="120" t="s">
        <v>56</v>
      </c>
      <c r="B93" s="121" t="s">
        <v>57</v>
      </c>
      <c r="C93" s="37"/>
      <c r="D93" s="117"/>
      <c r="E93" s="39"/>
      <c r="F93" s="37"/>
      <c r="G93" s="37"/>
      <c r="H93" s="144">
        <f>'[1]UK.RE'!G20+N94</f>
        <v>123.91999999999999</v>
      </c>
      <c r="K93" s="187" t="s">
        <v>37</v>
      </c>
      <c r="L93" s="184">
        <f>'[1]RE-T'!G16</f>
        <v>434.57640000000004</v>
      </c>
      <c r="M93" s="185">
        <f>'[1]RE-T'!G35+82.456</f>
        <v>3045.346</v>
      </c>
      <c r="N93" s="188">
        <f t="shared" si="1"/>
        <v>3479.9224</v>
      </c>
      <c r="O93" s="173"/>
      <c r="P93" s="150"/>
    </row>
    <row r="94" spans="1:16" ht="15">
      <c r="A94" s="26" t="s">
        <v>99</v>
      </c>
      <c r="B94" s="123" t="s">
        <v>38</v>
      </c>
      <c r="C94" s="48"/>
      <c r="D94" s="124"/>
      <c r="E94" s="36"/>
      <c r="F94" s="48"/>
      <c r="G94" s="48"/>
      <c r="H94" s="265">
        <f>'[1]UK.RE'!G22+N95</f>
        <v>0.814</v>
      </c>
      <c r="K94" s="187" t="s">
        <v>120</v>
      </c>
      <c r="L94" s="184">
        <f>'[1]RE-T'!G18+13</f>
        <v>25.66</v>
      </c>
      <c r="M94" s="185">
        <f>'[1]RE-T'!G37+16</f>
        <v>50.8</v>
      </c>
      <c r="N94" s="188">
        <f t="shared" si="1"/>
        <v>76.46</v>
      </c>
      <c r="O94" s="150"/>
      <c r="P94" s="150"/>
    </row>
    <row r="95" spans="1:16" ht="15">
      <c r="A95" s="120" t="s">
        <v>58</v>
      </c>
      <c r="B95" s="116" t="s">
        <v>39</v>
      </c>
      <c r="C95" s="37"/>
      <c r="D95" s="127"/>
      <c r="E95" s="66"/>
      <c r="F95" s="37"/>
      <c r="G95" s="37"/>
      <c r="H95" s="265">
        <f>'[1]UK.RE'!G24+N96</f>
        <v>2.596</v>
      </c>
      <c r="K95" s="187" t="s">
        <v>38</v>
      </c>
      <c r="L95" s="184">
        <f>'[1]RE-T'!G20+0.4</f>
        <v>0.607</v>
      </c>
      <c r="M95" s="185">
        <f>'[1]RE-T'!G38</f>
        <v>0</v>
      </c>
      <c r="N95" s="188">
        <f t="shared" si="1"/>
        <v>0.607</v>
      </c>
      <c r="O95" s="173"/>
      <c r="P95" s="150"/>
    </row>
    <row r="96" spans="1:16" ht="15.75" thickBot="1">
      <c r="A96" s="113" t="s">
        <v>59</v>
      </c>
      <c r="B96" s="119" t="s">
        <v>60</v>
      </c>
      <c r="C96" s="114"/>
      <c r="D96" s="125"/>
      <c r="E96" s="126"/>
      <c r="F96" s="114"/>
      <c r="G96" s="114"/>
      <c r="H96" s="265">
        <f>'[1]UK.RE'!G23+N97</f>
        <v>10.8976</v>
      </c>
      <c r="K96" s="187" t="s">
        <v>39</v>
      </c>
      <c r="L96" s="184">
        <f>'[1]RE-T'!G22+0.5</f>
        <v>1.548</v>
      </c>
      <c r="M96" s="185">
        <f>'[1]RE-T'!G39</f>
        <v>0</v>
      </c>
      <c r="N96" s="188">
        <f t="shared" si="1"/>
        <v>1.548</v>
      </c>
      <c r="O96" s="173"/>
      <c r="P96" s="150"/>
    </row>
    <row r="97" spans="1:16" ht="15.75" thickBot="1">
      <c r="A97" s="27" t="s">
        <v>61</v>
      </c>
      <c r="B97" s="28"/>
      <c r="C97" s="46"/>
      <c r="D97" s="45"/>
      <c r="E97" s="45"/>
      <c r="F97" s="46"/>
      <c r="G97" s="46"/>
      <c r="H97" s="73">
        <f>SUM(H85:H96)</f>
        <v>106399.21045999999</v>
      </c>
      <c r="K97" s="187" t="s">
        <v>121</v>
      </c>
      <c r="L97" s="184">
        <f>'[1]RE-T'!G21+1.5</f>
        <v>6.1988</v>
      </c>
      <c r="M97" s="185">
        <f>'[1]RE-T'!G40</f>
        <v>0</v>
      </c>
      <c r="N97" s="188">
        <f t="shared" si="1"/>
        <v>6.1988</v>
      </c>
      <c r="O97" s="173"/>
      <c r="P97" s="150"/>
    </row>
    <row r="98" spans="11:16" ht="13.5" thickBot="1">
      <c r="K98" s="189"/>
      <c r="L98" s="190"/>
      <c r="M98" s="191"/>
      <c r="N98" s="192"/>
      <c r="O98" s="173"/>
      <c r="P98" s="150"/>
    </row>
    <row r="99" spans="11:16" ht="13.5" thickBot="1">
      <c r="K99" s="193" t="s">
        <v>116</v>
      </c>
      <c r="L99" s="194">
        <f>SUM(L86:L97)</f>
        <v>49667.980840000004</v>
      </c>
      <c r="M99" s="195">
        <f>SUM(M86:M97)</f>
        <v>8492.752999999999</v>
      </c>
      <c r="N99" s="196">
        <f>L99+M99</f>
        <v>58160.73384</v>
      </c>
      <c r="O99" s="197">
        <f>SUM(O85:O97)</f>
        <v>0</v>
      </c>
      <c r="P99" s="150"/>
    </row>
    <row r="100" spans="11:16" ht="12.75">
      <c r="K100" s="198" t="s">
        <v>122</v>
      </c>
      <c r="L100" s="199">
        <v>0</v>
      </c>
      <c r="M100" s="200">
        <v>100</v>
      </c>
      <c r="N100" s="201">
        <f>(L100*M100*95)/1000</f>
        <v>0</v>
      </c>
      <c r="O100" s="150"/>
      <c r="P100" s="150"/>
    </row>
    <row r="101" spans="11:16" ht="12.75">
      <c r="K101" s="202" t="s">
        <v>123</v>
      </c>
      <c r="L101" s="153"/>
      <c r="M101" s="203"/>
      <c r="N101" s="204">
        <f>L124/3</f>
        <v>51538.213240000005</v>
      </c>
      <c r="O101" s="150"/>
      <c r="P101" s="150"/>
    </row>
    <row r="102" spans="1:16" ht="12.75">
      <c r="A102" s="33" t="s">
        <v>46</v>
      </c>
      <c r="B102" s="1" t="s">
        <v>97</v>
      </c>
      <c r="K102" s="205"/>
      <c r="L102" s="206"/>
      <c r="M102" s="207"/>
      <c r="N102" s="208"/>
      <c r="O102" s="150"/>
      <c r="P102" s="150"/>
    </row>
    <row r="103" spans="2:16" ht="12.75">
      <c r="B103" s="1" t="s">
        <v>157</v>
      </c>
      <c r="K103" s="205"/>
      <c r="L103" s="206"/>
      <c r="M103" s="207"/>
      <c r="N103" s="208"/>
      <c r="O103" s="150"/>
      <c r="P103" s="150"/>
    </row>
    <row r="104" spans="2:16" ht="12.75">
      <c r="B104" s="1"/>
      <c r="K104" s="148"/>
      <c r="L104" s="171"/>
      <c r="M104" s="150"/>
      <c r="N104" s="150"/>
      <c r="O104" s="150"/>
      <c r="P104" s="150"/>
    </row>
    <row r="105" spans="8:16" ht="13.5" thickBot="1">
      <c r="H105" s="4" t="s">
        <v>12</v>
      </c>
      <c r="K105" s="148"/>
      <c r="L105" s="171"/>
      <c r="M105" s="150"/>
      <c r="N105" s="150"/>
      <c r="O105" s="150"/>
      <c r="P105" s="150"/>
    </row>
    <row r="106" spans="1:16" ht="41.25" customHeight="1" thickBot="1">
      <c r="A106" s="30"/>
      <c r="B106" s="281" t="s">
        <v>8</v>
      </c>
      <c r="C106" s="282"/>
      <c r="D106" s="282"/>
      <c r="E106" s="88"/>
      <c r="F106" s="97"/>
      <c r="G106" s="98"/>
      <c r="H106" s="99" t="s">
        <v>140</v>
      </c>
      <c r="K106" s="148"/>
      <c r="L106" s="171"/>
      <c r="M106" s="150"/>
      <c r="N106" s="150"/>
      <c r="O106" s="150"/>
      <c r="P106" s="150"/>
    </row>
    <row r="107" spans="2:16" ht="13.5" thickBot="1">
      <c r="B107" s="285" t="s">
        <v>80</v>
      </c>
      <c r="C107" s="286"/>
      <c r="D107" s="286"/>
      <c r="E107" s="46"/>
      <c r="F107" s="103"/>
      <c r="G107" s="103"/>
      <c r="H107" s="104">
        <f>H108+H109+H110</f>
        <v>5541206.663041</v>
      </c>
      <c r="K107" s="148"/>
      <c r="L107" s="171" t="s">
        <v>124</v>
      </c>
      <c r="M107" s="150"/>
      <c r="N107" s="150"/>
      <c r="O107" s="150"/>
      <c r="P107" s="150"/>
    </row>
    <row r="108" spans="2:16" ht="29.25" customHeight="1" thickBot="1">
      <c r="B108" s="287" t="s">
        <v>9</v>
      </c>
      <c r="C108" s="288"/>
      <c r="D108" s="288"/>
      <c r="E108" s="48"/>
      <c r="F108" s="100"/>
      <c r="G108" s="101"/>
      <c r="H108" s="266">
        <f>'[1]Pri'!H41+N125+N126</f>
        <v>5422148.992506001</v>
      </c>
      <c r="K108" s="148"/>
      <c r="L108" s="209" t="s">
        <v>114</v>
      </c>
      <c r="M108" s="210" t="s">
        <v>115</v>
      </c>
      <c r="N108" s="211" t="s">
        <v>116</v>
      </c>
      <c r="O108" s="212" t="s">
        <v>125</v>
      </c>
      <c r="P108" s="213" t="s">
        <v>126</v>
      </c>
    </row>
    <row r="109" spans="2:16" ht="13.5" thickBot="1">
      <c r="B109" s="297" t="s">
        <v>10</v>
      </c>
      <c r="C109" s="298"/>
      <c r="D109" s="298"/>
      <c r="E109" s="37"/>
      <c r="F109" s="80"/>
      <c r="G109" s="80"/>
      <c r="H109" s="266">
        <f>'[1]Pri'!H42*2.5</f>
        <v>97338.46162499998</v>
      </c>
      <c r="K109" s="148"/>
      <c r="L109" s="273" t="s">
        <v>147</v>
      </c>
      <c r="M109" s="214">
        <v>100</v>
      </c>
      <c r="N109" s="215"/>
      <c r="O109" s="216"/>
      <c r="P109" s="217"/>
    </row>
    <row r="110" spans="2:16" ht="13.5" thickBot="1">
      <c r="B110" s="283" t="s">
        <v>11</v>
      </c>
      <c r="C110" s="284"/>
      <c r="D110" s="284"/>
      <c r="E110" s="48"/>
      <c r="F110" s="105"/>
      <c r="G110" s="105"/>
      <c r="H110" s="266">
        <f>'[1]Pri'!H48*7</f>
        <v>21719.208910000005</v>
      </c>
      <c r="K110" s="218" t="s">
        <v>32</v>
      </c>
      <c r="L110" s="219">
        <f>(L86-8870)*52.25+8870*52.25</f>
        <v>491621.39949999994</v>
      </c>
      <c r="M110" s="220">
        <f>M86*P110*M109/1000</f>
        <v>132298.32</v>
      </c>
      <c r="N110" s="221">
        <f>L110+M110</f>
        <v>623919.7194999999</v>
      </c>
      <c r="O110" s="268">
        <v>52</v>
      </c>
      <c r="P110" s="31">
        <v>660</v>
      </c>
    </row>
    <row r="111" spans="2:16" ht="13.5" thickBot="1">
      <c r="B111" s="285" t="s">
        <v>81</v>
      </c>
      <c r="C111" s="286"/>
      <c r="D111" s="286"/>
      <c r="E111" s="46"/>
      <c r="F111" s="107"/>
      <c r="G111" s="107"/>
      <c r="H111" s="108">
        <f>H112+H118+H119</f>
        <v>5298311.393123841</v>
      </c>
      <c r="K111" s="222" t="s">
        <v>33</v>
      </c>
      <c r="L111" s="223">
        <f aca="true" t="shared" si="2" ref="L111:L118">L87*O111</f>
        <v>11599.947800000002</v>
      </c>
      <c r="M111" s="224">
        <f>M87*P111*M109/1000</f>
        <v>13720.874999999995</v>
      </c>
      <c r="N111" s="221">
        <f>L111+M111</f>
        <v>25320.822799999994</v>
      </c>
      <c r="O111" s="225">
        <v>145</v>
      </c>
      <c r="P111" s="31">
        <v>1050</v>
      </c>
    </row>
    <row r="112" spans="2:16" ht="12.75">
      <c r="B112" s="287" t="s">
        <v>13</v>
      </c>
      <c r="C112" s="288"/>
      <c r="D112" s="288"/>
      <c r="E112" s="48"/>
      <c r="F112" s="101"/>
      <c r="G112" s="101"/>
      <c r="H112" s="102">
        <f>SUM(H113:H117)</f>
        <v>4717798.790363841</v>
      </c>
      <c r="K112" s="222" t="s">
        <v>34</v>
      </c>
      <c r="L112" s="267">
        <f>L88*O112</f>
        <v>1436146.312</v>
      </c>
      <c r="M112" s="224">
        <f>M88*P112*M109/1000</f>
        <v>8582.48</v>
      </c>
      <c r="N112" s="226">
        <f aca="true" t="shared" si="3" ref="N112:N118">L112+M112</f>
        <v>1444728.792</v>
      </c>
      <c r="O112" s="225">
        <v>38</v>
      </c>
      <c r="P112" s="31">
        <v>355</v>
      </c>
    </row>
    <row r="113" spans="2:16" ht="12.75">
      <c r="B113" s="289" t="s">
        <v>14</v>
      </c>
      <c r="C113" s="290"/>
      <c r="D113" s="291"/>
      <c r="E113" s="57"/>
      <c r="F113" s="81"/>
      <c r="G113" s="82"/>
      <c r="H113" s="84">
        <f>'[1]Ras'!$G$7+N124</f>
        <v>618458.55888</v>
      </c>
      <c r="K113" s="222" t="s">
        <v>117</v>
      </c>
      <c r="L113" s="223">
        <f t="shared" si="2"/>
        <v>4265.579</v>
      </c>
      <c r="M113" s="224">
        <f>M89</f>
        <v>0</v>
      </c>
      <c r="N113" s="221">
        <f t="shared" si="3"/>
        <v>4265.579</v>
      </c>
      <c r="O113" s="225">
        <v>4.7</v>
      </c>
      <c r="P113" s="31"/>
    </row>
    <row r="114" spans="2:16" ht="12.75">
      <c r="B114" s="292" t="s">
        <v>16</v>
      </c>
      <c r="C114" s="293"/>
      <c r="D114" s="293"/>
      <c r="E114" s="37"/>
      <c r="F114" s="85"/>
      <c r="G114" s="86"/>
      <c r="H114" s="32">
        <f>'[1]Ras'!$G$20+'[1]Ras'!$G$28+'[1]Ras'!$G$35+N130+N131+N132</f>
        <v>3654197.20582284</v>
      </c>
      <c r="K114" s="222" t="s">
        <v>127</v>
      </c>
      <c r="L114" s="223">
        <f t="shared" si="2"/>
        <v>22493.55</v>
      </c>
      <c r="M114" s="224">
        <f>M90</f>
        <v>0</v>
      </c>
      <c r="N114" s="221">
        <f t="shared" si="3"/>
        <v>22493.55</v>
      </c>
      <c r="O114" s="225">
        <v>42.5</v>
      </c>
      <c r="P114" s="31"/>
    </row>
    <row r="115" spans="2:16" ht="12.75">
      <c r="B115" s="292" t="s">
        <v>15</v>
      </c>
      <c r="C115" s="293"/>
      <c r="D115" s="293"/>
      <c r="E115" s="293"/>
      <c r="F115" s="293"/>
      <c r="G115" s="294"/>
      <c r="H115" s="32">
        <f>'[1]Ras'!$G$44+N133</f>
        <v>192469.27117999998</v>
      </c>
      <c r="K115" s="222" t="s">
        <v>119</v>
      </c>
      <c r="L115" s="223">
        <f t="shared" si="2"/>
        <v>59.49999999999999</v>
      </c>
      <c r="M115" s="224">
        <f>M91*P115*M109/1000</f>
        <v>73877.544</v>
      </c>
      <c r="N115" s="221">
        <f t="shared" si="3"/>
        <v>73937.044</v>
      </c>
      <c r="O115" s="225">
        <v>85</v>
      </c>
      <c r="P115" s="31">
        <v>520</v>
      </c>
    </row>
    <row r="116" spans="2:16" ht="12.75">
      <c r="B116" s="292" t="s">
        <v>17</v>
      </c>
      <c r="C116" s="293"/>
      <c r="D116" s="293"/>
      <c r="E116" s="37"/>
      <c r="F116" s="85"/>
      <c r="G116" s="86"/>
      <c r="H116" s="32">
        <f>'[1]Ras'!$G$91+N134</f>
        <v>77935.33736100001</v>
      </c>
      <c r="K116" s="222" t="s">
        <v>36</v>
      </c>
      <c r="L116" s="223">
        <f t="shared" si="2"/>
        <v>33566.049999999996</v>
      </c>
      <c r="M116" s="224">
        <f>M92*P116*M109/1000</f>
        <v>77548.105</v>
      </c>
      <c r="N116" s="221">
        <f t="shared" si="3"/>
        <v>111114.155</v>
      </c>
      <c r="O116" s="225">
        <v>70</v>
      </c>
      <c r="P116" s="31">
        <v>485</v>
      </c>
    </row>
    <row r="117" spans="2:16" ht="12.75">
      <c r="B117" s="289" t="s">
        <v>22</v>
      </c>
      <c r="C117" s="290"/>
      <c r="D117" s="291"/>
      <c r="E117" s="48"/>
      <c r="F117" s="82"/>
      <c r="G117" s="81"/>
      <c r="H117" s="32">
        <f>'[1]Ras'!$G$69+'[1]Ras'!$G$94+N135+N136</f>
        <v>174738.41712</v>
      </c>
      <c r="K117" s="222" t="s">
        <v>37</v>
      </c>
      <c r="L117" s="223">
        <f t="shared" si="2"/>
        <v>49976.28600000001</v>
      </c>
      <c r="M117" s="227">
        <f>M93*P117*M109/1000</f>
        <v>217742.239</v>
      </c>
      <c r="N117" s="221">
        <f t="shared" si="3"/>
        <v>267718.525</v>
      </c>
      <c r="O117" s="225">
        <v>115</v>
      </c>
      <c r="P117" s="31">
        <v>715</v>
      </c>
    </row>
    <row r="118" spans="2:16" ht="12.75">
      <c r="B118" s="302" t="s">
        <v>18</v>
      </c>
      <c r="C118" s="303"/>
      <c r="D118" s="304"/>
      <c r="E118" s="37"/>
      <c r="F118" s="83"/>
      <c r="G118" s="87"/>
      <c r="H118" s="31">
        <f>'[1]Ras'!$G$124+'[1]Ras'!$G$125+50000</f>
        <v>554047.9836800001</v>
      </c>
      <c r="K118" s="228" t="s">
        <v>120</v>
      </c>
      <c r="L118" s="223">
        <f t="shared" si="2"/>
        <v>5901.8</v>
      </c>
      <c r="M118" s="224">
        <f>M94*P118*M109/1000</f>
        <v>10160</v>
      </c>
      <c r="N118" s="221">
        <f t="shared" si="3"/>
        <v>16061.8</v>
      </c>
      <c r="O118" s="225">
        <v>230</v>
      </c>
      <c r="P118" s="31">
        <v>2000</v>
      </c>
    </row>
    <row r="119" spans="2:16" ht="13.5" thickBot="1">
      <c r="B119" s="305" t="s">
        <v>19</v>
      </c>
      <c r="C119" s="306"/>
      <c r="D119" s="307"/>
      <c r="E119" s="57"/>
      <c r="F119" s="105"/>
      <c r="G119" s="109"/>
      <c r="H119" s="106">
        <f>'[1]Ras'!$G$137*2</f>
        <v>26464.61908</v>
      </c>
      <c r="K119" s="228" t="s">
        <v>38</v>
      </c>
      <c r="L119" s="223">
        <f>L95*1000</f>
        <v>607</v>
      </c>
      <c r="M119" s="224">
        <f>M95*P119*95/1000</f>
        <v>0</v>
      </c>
      <c r="N119" s="221">
        <f>L119+M119</f>
        <v>607</v>
      </c>
      <c r="O119" s="225">
        <v>950</v>
      </c>
      <c r="P119" s="31">
        <v>0</v>
      </c>
    </row>
    <row r="120" spans="2:16" ht="13.5" thickBot="1">
      <c r="B120" s="299" t="s">
        <v>82</v>
      </c>
      <c r="C120" s="300"/>
      <c r="D120" s="301"/>
      <c r="E120" s="46"/>
      <c r="F120" s="110"/>
      <c r="G120" s="107"/>
      <c r="H120" s="108">
        <f>H107-H111</f>
        <v>242895.26991715934</v>
      </c>
      <c r="K120" s="228" t="s">
        <v>39</v>
      </c>
      <c r="L120" s="223">
        <f>L96*245</f>
        <v>379.26</v>
      </c>
      <c r="M120" s="224">
        <f>M96*P120*95/1000</f>
        <v>0</v>
      </c>
      <c r="N120" s="221">
        <f>L120+M120</f>
        <v>379.26</v>
      </c>
      <c r="O120" s="225">
        <v>200</v>
      </c>
      <c r="P120" s="31">
        <v>0</v>
      </c>
    </row>
    <row r="121" spans="2:16" ht="13.5" thickBot="1">
      <c r="B121" s="289" t="s">
        <v>20</v>
      </c>
      <c r="C121" s="290"/>
      <c r="D121" s="291"/>
      <c r="E121" s="48"/>
      <c r="F121" s="82"/>
      <c r="G121" s="111"/>
      <c r="H121" s="112">
        <f>H120*10%</f>
        <v>24289.526991715935</v>
      </c>
      <c r="K121" s="229" t="s">
        <v>121</v>
      </c>
      <c r="L121" s="230">
        <f>L97*815</f>
        <v>5052.022</v>
      </c>
      <c r="M121" s="231">
        <f>M97*P121/1000</f>
        <v>0</v>
      </c>
      <c r="N121" s="232">
        <f>L121+M121</f>
        <v>5052.022</v>
      </c>
      <c r="O121" s="233">
        <v>660</v>
      </c>
      <c r="P121" s="234">
        <v>0</v>
      </c>
    </row>
    <row r="122" spans="2:16" ht="13.5" thickBot="1">
      <c r="B122" s="299" t="s">
        <v>21</v>
      </c>
      <c r="C122" s="300"/>
      <c r="D122" s="301"/>
      <c r="E122" s="46"/>
      <c r="F122" s="107"/>
      <c r="G122" s="107"/>
      <c r="H122" s="108">
        <f>H120-H121</f>
        <v>218605.7429254434</v>
      </c>
      <c r="K122" s="235" t="s">
        <v>116</v>
      </c>
      <c r="L122" s="236">
        <f>SUM(L110:L121)*1.05</f>
        <v>2164752.141615</v>
      </c>
      <c r="M122" s="237">
        <f>SUM(M110:M121)</f>
        <v>533929.5630000001</v>
      </c>
      <c r="N122" s="238">
        <f>L122+M122</f>
        <v>2698681.704615</v>
      </c>
      <c r="O122" s="150"/>
      <c r="P122" s="150"/>
    </row>
    <row r="123" spans="5:16" ht="12.75">
      <c r="E123" s="5"/>
      <c r="F123" s="5"/>
      <c r="G123" s="5"/>
      <c r="K123" s="239" t="s">
        <v>128</v>
      </c>
      <c r="L123" s="240">
        <v>0</v>
      </c>
      <c r="M123" s="241">
        <v>0</v>
      </c>
      <c r="N123" s="242">
        <f>(L123*M123*95)/1000</f>
        <v>0</v>
      </c>
      <c r="O123" s="150"/>
      <c r="P123" s="150"/>
    </row>
    <row r="124" spans="1:16" ht="14.25">
      <c r="A124" s="68" t="s">
        <v>102</v>
      </c>
      <c r="E124" s="5"/>
      <c r="F124" s="5"/>
      <c r="G124" s="5"/>
      <c r="K124" s="243" t="s">
        <v>142</v>
      </c>
      <c r="L124" s="244">
        <f>'[1]Ras'!$G$7</f>
        <v>154614.63972</v>
      </c>
      <c r="M124" s="245"/>
      <c r="N124" s="246">
        <f>L124*3</f>
        <v>463843.91916000005</v>
      </c>
      <c r="O124" s="150"/>
      <c r="P124" s="150"/>
    </row>
    <row r="125" spans="1:16" ht="15" thickBot="1">
      <c r="A125" s="68" t="s">
        <v>104</v>
      </c>
      <c r="E125" s="5"/>
      <c r="F125" s="5"/>
      <c r="G125" s="5"/>
      <c r="K125" s="247" t="s">
        <v>116</v>
      </c>
      <c r="L125" s="170"/>
      <c r="M125" s="248"/>
      <c r="N125" s="249">
        <f>SUM(N122:N124)</f>
        <v>3162525.623775</v>
      </c>
      <c r="O125" s="150"/>
      <c r="P125" s="150"/>
    </row>
    <row r="126" spans="1:16" ht="14.25">
      <c r="A126" s="68" t="s">
        <v>103</v>
      </c>
      <c r="E126" s="5"/>
      <c r="F126" s="5"/>
      <c r="G126" s="5"/>
      <c r="K126" s="148" t="s">
        <v>146</v>
      </c>
      <c r="L126" s="171">
        <f>('[1]Pri'!$H$35+'[1]Pri'!$H$36+'[1]Pri'!$H$37)*1.1</f>
        <v>70745.20685100001</v>
      </c>
      <c r="M126" s="150"/>
      <c r="N126" s="272">
        <f>SUM(L126:M126)</f>
        <v>70745.20685100001</v>
      </c>
      <c r="O126" s="250">
        <f>H111+I111</f>
        <v>5298311.393123841</v>
      </c>
      <c r="P126" s="251" t="s">
        <v>129</v>
      </c>
    </row>
    <row r="127" spans="1:16" ht="14.25">
      <c r="A127" s="68" t="s">
        <v>105</v>
      </c>
      <c r="E127" s="5"/>
      <c r="F127" s="5"/>
      <c r="G127" s="5"/>
      <c r="K127" s="80"/>
      <c r="L127" s="171"/>
      <c r="M127" s="150"/>
      <c r="N127" s="252"/>
      <c r="O127" s="250">
        <f>H115+I115</f>
        <v>192469.27117999998</v>
      </c>
      <c r="P127" s="150" t="s">
        <v>130</v>
      </c>
    </row>
    <row r="128" spans="1:16" ht="14.25">
      <c r="A128" s="68" t="s">
        <v>106</v>
      </c>
      <c r="E128" s="5"/>
      <c r="F128" s="5"/>
      <c r="G128" s="5"/>
      <c r="K128" s="80"/>
      <c r="L128" s="171"/>
      <c r="M128" s="150"/>
      <c r="N128" s="253"/>
      <c r="O128" s="254">
        <f>O126-O127</f>
        <v>5105842.121943841</v>
      </c>
      <c r="P128" s="150" t="s">
        <v>131</v>
      </c>
    </row>
    <row r="129" spans="1:16" ht="18" customHeight="1">
      <c r="A129" s="68" t="s">
        <v>107</v>
      </c>
      <c r="E129" s="5"/>
      <c r="F129" s="5"/>
      <c r="G129" s="5"/>
      <c r="K129" s="262" t="s">
        <v>148</v>
      </c>
      <c r="L129" s="262"/>
      <c r="M129" s="262"/>
      <c r="N129" s="255">
        <f>L124*3</f>
        <v>463843.91916000005</v>
      </c>
      <c r="O129" s="150"/>
      <c r="P129" s="150"/>
    </row>
    <row r="130" spans="1:16" ht="14.25" customHeight="1">
      <c r="A130" s="68" t="s">
        <v>85</v>
      </c>
      <c r="E130" s="5"/>
      <c r="F130" s="5"/>
      <c r="G130" s="5"/>
      <c r="K130" s="256" t="s">
        <v>132</v>
      </c>
      <c r="L130" s="256"/>
      <c r="M130" s="257">
        <f>13000+6520/49725*55000-211.664+1500</f>
        <v>21500.000152840625</v>
      </c>
      <c r="N130" s="258">
        <f>M60*30.5+M130+150000</f>
        <v>2001500.0001528405</v>
      </c>
      <c r="O130" s="150"/>
      <c r="P130" s="150"/>
    </row>
    <row r="131" spans="1:16" ht="12.75" customHeight="1">
      <c r="A131" s="68"/>
      <c r="E131" s="5"/>
      <c r="F131" s="5"/>
      <c r="G131" s="5"/>
      <c r="K131" s="155" t="s">
        <v>133</v>
      </c>
      <c r="L131" s="153"/>
      <c r="M131" s="203"/>
      <c r="N131" s="159">
        <f>'[1]Ras'!$G$28</f>
        <v>35315.667969999995</v>
      </c>
      <c r="O131" s="150"/>
      <c r="P131" s="150"/>
    </row>
    <row r="132" spans="1:16" ht="14.25">
      <c r="A132" s="68" t="s">
        <v>150</v>
      </c>
      <c r="E132" s="5"/>
      <c r="F132" s="5"/>
      <c r="G132" s="5"/>
      <c r="K132" s="155" t="s">
        <v>134</v>
      </c>
      <c r="L132" s="256"/>
      <c r="M132" s="256"/>
      <c r="N132" s="159">
        <f>'[1]Ras'!$G$35</f>
        <v>69939.92972</v>
      </c>
      <c r="O132" s="270">
        <f>N130+N131+N132</f>
        <v>2106755.5978428405</v>
      </c>
      <c r="P132" s="150"/>
    </row>
    <row r="133" spans="1:16" ht="14.25">
      <c r="A133" s="68" t="s">
        <v>151</v>
      </c>
      <c r="K133" s="256" t="s">
        <v>135</v>
      </c>
      <c r="L133" s="153"/>
      <c r="M133" s="203"/>
      <c r="N133" s="255">
        <f>'[1]Ras'!$G$44+17500</f>
        <v>104984.63558999999</v>
      </c>
      <c r="O133" s="150"/>
      <c r="P133" s="150"/>
    </row>
    <row r="134" spans="1:16" ht="14.25">
      <c r="A134" s="68" t="s">
        <v>153</v>
      </c>
      <c r="K134" s="262" t="s">
        <v>143</v>
      </c>
      <c r="L134" s="153"/>
      <c r="M134" s="203"/>
      <c r="N134" s="255">
        <f>'[1]Ras'!$G$91*1.1</f>
        <v>40823.27195100001</v>
      </c>
      <c r="O134" s="150"/>
      <c r="P134" s="150"/>
    </row>
    <row r="135" spans="1:16" ht="12.75" customHeight="1">
      <c r="A135" s="68" t="s">
        <v>154</v>
      </c>
      <c r="K135" s="262" t="s">
        <v>144</v>
      </c>
      <c r="L135" s="262"/>
      <c r="M135" s="262"/>
      <c r="N135" s="255">
        <f>'[1]Ras'!$G$69</f>
        <v>55809.13123</v>
      </c>
      <c r="O135" s="150"/>
      <c r="P135" s="150"/>
    </row>
    <row r="136" spans="1:16" ht="14.25" customHeight="1">
      <c r="A136" s="68" t="s">
        <v>155</v>
      </c>
      <c r="K136" s="269" t="s">
        <v>145</v>
      </c>
      <c r="L136" s="262"/>
      <c r="M136" s="262"/>
      <c r="N136" s="255">
        <f>'[1]Ras'!$G$94</f>
        <v>31560.077330000004</v>
      </c>
      <c r="O136" s="150"/>
      <c r="P136" s="150"/>
    </row>
    <row r="137" spans="1:16" ht="13.5" customHeight="1">
      <c r="A137" s="68" t="s">
        <v>109</v>
      </c>
      <c r="K137" s="259"/>
      <c r="L137" s="259"/>
      <c r="M137" s="259"/>
      <c r="N137" s="260"/>
      <c r="O137" s="150"/>
      <c r="P137" s="150"/>
    </row>
    <row r="138" spans="1:16" ht="9" customHeight="1" thickBot="1">
      <c r="A138" s="68"/>
      <c r="K138" s="259"/>
      <c r="L138" s="259"/>
      <c r="M138" s="259"/>
      <c r="N138" s="260"/>
      <c r="O138" s="150"/>
      <c r="P138" s="150"/>
    </row>
    <row r="139" spans="1:16" ht="15.75" thickBot="1">
      <c r="A139" s="68" t="s">
        <v>160</v>
      </c>
      <c r="B139" s="278"/>
      <c r="I139" s="14"/>
      <c r="J139" s="68"/>
      <c r="K139" s="148"/>
      <c r="L139" s="171"/>
      <c r="M139" s="150"/>
      <c r="N139" s="261">
        <f>SUM(N129:N136)</f>
        <v>2803776.6331038405</v>
      </c>
      <c r="O139" s="150"/>
      <c r="P139" s="150"/>
    </row>
    <row r="140" spans="1:16" ht="15">
      <c r="A140" s="68" t="s">
        <v>152</v>
      </c>
      <c r="B140" s="278"/>
      <c r="I140" s="14"/>
      <c r="J140" s="68"/>
      <c r="K140" s="148"/>
      <c r="L140" s="171"/>
      <c r="M140" s="150"/>
      <c r="N140" s="150"/>
      <c r="O140" s="150"/>
      <c r="P140" s="150"/>
    </row>
    <row r="141" spans="1:16" ht="15">
      <c r="A141" s="68" t="s">
        <v>161</v>
      </c>
      <c r="B141" s="278"/>
      <c r="I141" s="14"/>
      <c r="J141" s="68"/>
      <c r="K141" s="148"/>
      <c r="L141" s="171"/>
      <c r="M141" s="150"/>
      <c r="N141" s="150"/>
      <c r="O141" s="150"/>
      <c r="P141" s="150"/>
    </row>
    <row r="142" spans="1:16" ht="15">
      <c r="A142" s="68" t="s">
        <v>162</v>
      </c>
      <c r="B142" s="278"/>
      <c r="I142" s="14"/>
      <c r="J142" s="68"/>
      <c r="K142" s="148"/>
      <c r="L142" s="171"/>
      <c r="M142" s="150"/>
      <c r="N142" s="150"/>
      <c r="O142" s="150"/>
      <c r="P142" s="150"/>
    </row>
    <row r="143" spans="1:16" ht="10.5" customHeight="1">
      <c r="A143" s="68"/>
      <c r="J143" s="68"/>
      <c r="K143" s="148"/>
      <c r="L143" s="171"/>
      <c r="M143" s="150"/>
      <c r="N143" s="150"/>
      <c r="O143" s="150"/>
      <c r="P143" s="150"/>
    </row>
    <row r="144" spans="1:16" ht="14.25">
      <c r="A144" s="68" t="s">
        <v>156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148"/>
      <c r="L144" s="171"/>
      <c r="M144" s="150"/>
      <c r="N144" s="150"/>
      <c r="O144" s="150"/>
      <c r="P144" s="150"/>
    </row>
    <row r="145" spans="1:16" ht="14.25">
      <c r="A145" s="68" t="s">
        <v>110</v>
      </c>
      <c r="B145" s="68"/>
      <c r="C145" s="68"/>
      <c r="D145" s="68"/>
      <c r="E145" s="68"/>
      <c r="F145" s="68"/>
      <c r="G145" s="68"/>
      <c r="H145" s="68"/>
      <c r="I145" s="147"/>
      <c r="J145" s="68"/>
      <c r="K145" s="148"/>
      <c r="L145" s="171"/>
      <c r="M145" s="150"/>
      <c r="N145" s="150"/>
      <c r="O145" s="150"/>
      <c r="P145" s="150"/>
    </row>
    <row r="146" spans="1:10" ht="14.25">
      <c r="A146" s="68" t="s">
        <v>149</v>
      </c>
      <c r="B146" s="68"/>
      <c r="C146" s="68"/>
      <c r="D146" s="68"/>
      <c r="E146" s="68"/>
      <c r="F146" s="68"/>
      <c r="G146" s="68"/>
      <c r="H146" s="68"/>
      <c r="I146" s="147"/>
      <c r="J146" s="68"/>
    </row>
    <row r="147" spans="1:10" ht="15" customHeight="1">
      <c r="A147" s="68" t="s">
        <v>108</v>
      </c>
      <c r="B147" s="68"/>
      <c r="C147" s="68"/>
      <c r="D147" s="68"/>
      <c r="E147" s="68"/>
      <c r="F147" s="68"/>
      <c r="G147" s="68"/>
      <c r="H147" s="68"/>
      <c r="I147" s="147"/>
      <c r="J147" s="3"/>
    </row>
    <row r="148" ht="12.75" customHeight="1"/>
    <row r="149" spans="1:10" ht="37.5" customHeight="1">
      <c r="A149" s="280"/>
      <c r="B149" s="280"/>
      <c r="C149" s="280"/>
      <c r="D149" s="280"/>
      <c r="E149" s="280"/>
      <c r="F149" s="280"/>
      <c r="G149" s="280"/>
      <c r="H149" s="280"/>
      <c r="I149" s="280"/>
      <c r="J149" s="3"/>
    </row>
    <row r="151" spans="1:10" ht="66.75" customHeight="1">
      <c r="A151" s="280"/>
      <c r="B151" s="280"/>
      <c r="C151" s="280"/>
      <c r="D151" s="280"/>
      <c r="E151" s="280"/>
      <c r="F151" s="280"/>
      <c r="G151" s="280"/>
      <c r="H151" s="280"/>
      <c r="I151" s="280"/>
      <c r="J151" s="3"/>
    </row>
    <row r="152" ht="12.75">
      <c r="H152" s="2" t="s">
        <v>89</v>
      </c>
    </row>
    <row r="154" ht="12.75">
      <c r="H154" s="2" t="s">
        <v>90</v>
      </c>
    </row>
  </sheetData>
  <sheetProtection/>
  <mergeCells count="20">
    <mergeCell ref="B83:E83"/>
    <mergeCell ref="B107:D107"/>
    <mergeCell ref="B108:D108"/>
    <mergeCell ref="B109:D109"/>
    <mergeCell ref="B121:D121"/>
    <mergeCell ref="B122:D122"/>
    <mergeCell ref="B117:D117"/>
    <mergeCell ref="B118:D118"/>
    <mergeCell ref="B119:D119"/>
    <mergeCell ref="B120:D120"/>
    <mergeCell ref="A151:I151"/>
    <mergeCell ref="A149:I149"/>
    <mergeCell ref="B106:D106"/>
    <mergeCell ref="B110:D110"/>
    <mergeCell ref="B111:D111"/>
    <mergeCell ref="B112:D112"/>
    <mergeCell ref="B113:D113"/>
    <mergeCell ref="B114:D114"/>
    <mergeCell ref="B116:D116"/>
    <mergeCell ref="B115:G115"/>
  </mergeCells>
  <hyperlinks>
    <hyperlink ref="B28" r:id="rId1" display="www.soyaprotein.com"/>
    <hyperlink ref="B29" r:id="rId2" display="office@soyaprotein.com"/>
  </hyperlinks>
  <printOptions/>
  <pageMargins left="0.82" right="0.3" top="1.19" bottom="0.39" header="0.5" footer="0.31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jovo</dc:creator>
  <cp:keywords/>
  <dc:description/>
  <cp:lastModifiedBy>Biljana Stojanovic</cp:lastModifiedBy>
  <cp:lastPrinted>2010-05-12T13:18:35Z</cp:lastPrinted>
  <dcterms:created xsi:type="dcterms:W3CDTF">2007-10-27T09:26:42Z</dcterms:created>
  <dcterms:modified xsi:type="dcterms:W3CDTF">2010-05-14T11:23:03Z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